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810" windowWidth="13275" windowHeight="9465"/>
  </bookViews>
  <sheets>
    <sheet name="Опросный лист шлюз" sheetId="2" r:id="rId1"/>
    <sheet name="Лист1" sheetId="4" state="hidden" r:id="rId2"/>
    <sheet name="Справка" sheetId="5" r:id="rId3"/>
  </sheets>
  <externalReferences>
    <externalReference r:id="rId4"/>
  </externalReferences>
  <definedNames>
    <definedName name="_ftn1" localSheetId="1">Лист1!$G$15</definedName>
    <definedName name="_ftnref1" localSheetId="1">Лист1!$G$10</definedName>
    <definedName name="_Ref200615198" localSheetId="1">Лист1!$G$10</definedName>
    <definedName name="Test" localSheetId="1">#REF!</definedName>
    <definedName name="Test">#REF!</definedName>
    <definedName name="Арматура">'[1]Опросный лист термоманометр'!$L$94:$L$99</definedName>
    <definedName name="Без_пустых" localSheetId="1">IFERROR(INDEX(#REF!,SMALL(IF(#REF!&lt;&gt;#REF!,ROW(INDIRECT("1:"&amp;ROWS(#REF!))),""),ROW(INDIRECT("1:"&amp;ROWS(#REF!))))),"")</definedName>
    <definedName name="Без_пустых">IFERROR(INDEX(#REF!,SMALL(IF(#REF!&lt;&gt;#REF!,ROW(INDIRECT("1:"&amp;ROWS(#REF!))),""),ROW(INDIRECT("1:"&amp;ROWS(#REF!))))),"")</definedName>
    <definedName name="Без_пустых1" localSheetId="1">IFERROR(VLOOKUP(ROW(#REF!),#REF!,2,0),"")</definedName>
    <definedName name="Без_пустых1">IFERROR(VLOOKUP(ROW(#REF!),#REF!,2,0),"")</definedName>
    <definedName name="Гильза">OFFSET('[1]Опросный лист термоманометр'!$L$75:$N$78,0,'[1]Опросный лист термоманометр'!$I$24-1,,1)</definedName>
    <definedName name="Давление_ВПИ">'[1]Опросный лист термоманометр'!$L$4:$L$15</definedName>
    <definedName name="Давление_Погрешность">'[1]Опросный лист термоманометр'!$L$17:$L$22</definedName>
    <definedName name="Исполнение">'[1]Опросный лист термоманометр'!$L$87:$L$88</definedName>
    <definedName name="Кабель_Длина">OFFSET('[1]Опросный лист термоманометр'!$L$61:$N$69,0,'[1]Опросный лист термоманометр'!$I$24-1,,1)</definedName>
    <definedName name="Кабель_Защита">OFFSET('[1]Опросный лист термоманометр'!$L$71:$N$73,0,'[1]Опросный лист термоманометр'!$I$24-1,,1)</definedName>
    <definedName name="Кабель_Подключение">OFFSET('[1]Опросный лист термоманометр'!$L$57:$N$59,0,'[1]Опросный лист термоманометр'!$I$24-1,,1)</definedName>
    <definedName name="Конструктивное_исполнение" localSheetId="1">Лист1!#REF!</definedName>
    <definedName name="Конструктивное_исполнение">'Опросный лист шлюз'!#REF!</definedName>
    <definedName name="_xlnm.Print_Area" localSheetId="1">Лист1!#REF!</definedName>
    <definedName name="_xlnm.Print_Area" localSheetId="0">'Опросный лист шлюз'!$A$1:$J$44</definedName>
    <definedName name="_xlnm.Print_Area" localSheetId="2">Справка!$A$1:$B$4</definedName>
    <definedName name="Поверка">'[1]Опросный лист термоманометр'!$L$101:$L$102</definedName>
    <definedName name="Резьба">'[1]Опросный лист термоманометр'!$L$90:$L$92</definedName>
    <definedName name="Способ_подключения_кабеля_к_термощупу" localSheetId="1">#REF!</definedName>
    <definedName name="Способ_подключения_кабеля_к_термощупу">#REF!</definedName>
    <definedName name="Способы_крепления_термощупа" localSheetId="1">#REF!</definedName>
    <definedName name="Способы_крепления_термощупа">#REF!</definedName>
    <definedName name="Температура_Диапазон" localSheetId="1">Лист1!#REF!</definedName>
    <definedName name="Температура_Диапазон">'Опросный лист шлюз'!#REF!</definedName>
    <definedName name="Температура_Место">'[1]Опросный лист термоманометр'!$L$25:$L$27</definedName>
    <definedName name="Температура_Погрешность">OFFSET('[1]Опросный лист термоманометр'!$L$36:$N$38,0,'[1]Опросный лист термоманометр'!$I$24-1,,1)</definedName>
    <definedName name="Хранение_передача">'[1]Опросный лист термоманометр'!$L$80:$L$81</definedName>
    <definedName name="Щуп_Диаметр">OFFSET('[1]Опросный лист термоманометр'!$L$45:$N$49,0,'[1]Опросный лист термоманометр'!$I$24-1,,1)</definedName>
    <definedName name="Щуп_Длина">OFFSET('[1]Опросный лист термоманометр'!$L$40:$N$43,0,'[1]Опросный лист термоманометр'!$I$24-1,,1)</definedName>
    <definedName name="Щуп_Крепление">OFFSET('[1]Опросный лист термоманометр'!$L$51:$N$55,0,'[1]Опросный лист термоманометр'!$I$24-1,,1)</definedName>
  </definedNames>
  <calcPr calcId="145621"/>
</workbook>
</file>

<file path=xl/calcChain.xml><?xml version="1.0" encoding="utf-8"?>
<calcChain xmlns="http://schemas.openxmlformats.org/spreadsheetml/2006/main">
  <c r="J50" i="4" l="1"/>
  <c r="I50" i="4"/>
  <c r="E47" i="4"/>
  <c r="E48" i="4"/>
  <c r="E49" i="4"/>
  <c r="E50" i="4"/>
  <c r="D47" i="4"/>
  <c r="B47" i="4" s="1"/>
  <c r="D48" i="4"/>
  <c r="D49" i="4"/>
  <c r="D50" i="4"/>
  <c r="E40" i="4"/>
  <c r="E39" i="4"/>
  <c r="E38" i="4"/>
  <c r="D40" i="4"/>
  <c r="D39" i="4"/>
  <c r="D38" i="4"/>
  <c r="B18" i="2"/>
  <c r="B10" i="2"/>
  <c r="E18" i="4"/>
  <c r="E17" i="4"/>
  <c r="E16" i="4"/>
  <c r="E15" i="4"/>
  <c r="D18" i="4"/>
  <c r="D17" i="4"/>
  <c r="D16" i="4"/>
  <c r="D15" i="4"/>
  <c r="B3" i="4"/>
  <c r="C3" i="4" s="1"/>
  <c r="B43" i="4"/>
  <c r="C43" i="4" s="1"/>
  <c r="C47" i="4" l="1"/>
  <c r="B55" i="4" s="1"/>
  <c r="C41" i="2" s="1"/>
  <c r="B26" i="4"/>
  <c r="B16" i="2" s="1"/>
  <c r="E32" i="4" l="1"/>
  <c r="E35" i="4"/>
  <c r="E33" i="4"/>
  <c r="E34" i="4"/>
  <c r="C26" i="4"/>
  <c r="D35" i="4"/>
  <c r="D34" i="4"/>
  <c r="D33" i="4"/>
  <c r="D32" i="4"/>
  <c r="C43" i="2"/>
  <c r="B32" i="4" l="1"/>
  <c r="C32" i="4" s="1"/>
  <c r="B38" i="4"/>
  <c r="C38" i="4" s="1"/>
  <c r="B7" i="4"/>
  <c r="C7" i="4" l="1"/>
  <c r="B15" i="4" l="1"/>
  <c r="B21" i="4"/>
  <c r="C21" i="4" s="1"/>
  <c r="B13" i="2" s="1"/>
  <c r="C15" i="4" l="1"/>
  <c r="B53" i="4" s="1"/>
  <c r="C39" i="2" l="1"/>
</calcChain>
</file>

<file path=xl/sharedStrings.xml><?xml version="1.0" encoding="utf-8"?>
<sst xmlns="http://schemas.openxmlformats.org/spreadsheetml/2006/main" count="109" uniqueCount="75">
  <si>
    <t>Информацию подготовил:</t>
  </si>
  <si>
    <t>Фамилия, Имя, Отчество</t>
  </si>
  <si>
    <t>Компания</t>
  </si>
  <si>
    <t>Почтовый адрес</t>
  </si>
  <si>
    <t>Телефон/Факс</t>
  </si>
  <si>
    <t>Количество, шт</t>
  </si>
  <si>
    <t>Дополнительные требования</t>
  </si>
  <si>
    <t>Если выбрано "другое", то впишите значение</t>
  </si>
  <si>
    <t>Код для заказа</t>
  </si>
  <si>
    <t>Выбранный вариант</t>
  </si>
  <si>
    <t>В спецификацию</t>
  </si>
  <si>
    <t/>
  </si>
  <si>
    <t xml:space="preserve">Опросный лист на Шлюз "Автон" </t>
  </si>
  <si>
    <t>Опции</t>
  </si>
  <si>
    <t>Столбец1</t>
  </si>
  <si>
    <t>Столбец2</t>
  </si>
  <si>
    <t>Передача данных</t>
  </si>
  <si>
    <t>Столбец3</t>
  </si>
  <si>
    <t>Длина кабеля</t>
  </si>
  <si>
    <t>Справка</t>
  </si>
  <si>
    <t>История изменений:</t>
  </si>
  <si>
    <t>Интерфейс связи с датчиками</t>
  </si>
  <si>
    <t>Интерфейс связи</t>
  </si>
  <si>
    <t>LoRaWAN</t>
  </si>
  <si>
    <t>NB-IoT</t>
  </si>
  <si>
    <t>Опросный лист создан.</t>
  </si>
  <si>
    <t>Сжатие изображений.</t>
  </si>
  <si>
    <t>BLE</t>
  </si>
  <si>
    <t>Ain+Dout+BLE</t>
  </si>
  <si>
    <t>RS485+BLE</t>
  </si>
  <si>
    <t>Ain+BLE</t>
  </si>
  <si>
    <t>RS485+Dout+BLE</t>
  </si>
  <si>
    <t>Bluetooth Low Energy</t>
  </si>
  <si>
    <t>аналоговый вход «токовая петля 4-20 мА» и Bluetooth Low Energy</t>
  </si>
  <si>
    <t>аналоговый вход «токовая петля 4-20 мА», цифровой выход (открытый коллектор) и Bluetooth Low Energy</t>
  </si>
  <si>
    <t>RS485 и Bluetooth Low Energy</t>
  </si>
  <si>
    <t>RS485, цифровой выход (открытый коллектор) и Bluetooth Low Energy</t>
  </si>
  <si>
    <t>Интерфейс связи с системой верхнего уровня</t>
  </si>
  <si>
    <t>, LoRa</t>
  </si>
  <si>
    <t>, NB-IoT</t>
  </si>
  <si>
    <t>Антенна для дальнего канала связи</t>
  </si>
  <si>
    <t>встроенная</t>
  </si>
  <si>
    <t>внешняя</t>
  </si>
  <si>
    <t>внешняя направленная</t>
  </si>
  <si>
    <t>, А</t>
  </si>
  <si>
    <t>, Анапр</t>
  </si>
  <si>
    <t>Версия: 23.06.2025</t>
  </si>
  <si>
    <t>Длина кабеля антенны</t>
  </si>
  <si>
    <t>Тип питания</t>
  </si>
  <si>
    <t>универсальная</t>
  </si>
  <si>
    <t>для Streamlux SLS-720</t>
  </si>
  <si>
    <t>, Streamlux SLS-720</t>
  </si>
  <si>
    <t>Тип микропрограммы</t>
  </si>
  <si>
    <t>Модификация</t>
  </si>
  <si>
    <t>шлюз</t>
  </si>
  <si>
    <t>модуль шлюза (встраиваемый)</t>
  </si>
  <si>
    <t>Шлюз</t>
  </si>
  <si>
    <t>Модуль шлюза</t>
  </si>
  <si>
    <t>Крепление</t>
  </si>
  <si>
    <t>на магнит</t>
  </si>
  <si>
    <t>на DIN-рейку</t>
  </si>
  <si>
    <t>на кронштейн</t>
  </si>
  <si>
    <t>другое</t>
  </si>
  <si>
    <t>Крепление на магнит</t>
  </si>
  <si>
    <t>Крепление на DIN-рейку</t>
  </si>
  <si>
    <t>Крепление на кронштейн</t>
  </si>
  <si>
    <t>Дополнительная комплектация</t>
  </si>
  <si>
    <t>на винты</t>
  </si>
  <si>
    <t>на кронштейн-переходник</t>
  </si>
  <si>
    <t>на магниты</t>
  </si>
  <si>
    <t>Крепление на винты</t>
  </si>
  <si>
    <t>Крепление на кронштейн-переходник</t>
  </si>
  <si>
    <t>Крепление на магниты</t>
  </si>
  <si>
    <t>Внешний вид Шлюза "Автон"</t>
  </si>
  <si>
    <t>Внесены изменения в соответствии с файлом требований.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</si>
</sst>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2"/>
      <name val="Calibri"/>
      <family val="2"/>
      <charset val="204"/>
      <scheme val="minor"/>
    </font>
    <font>
      <b/>
      <sz val="12"/>
      <color rgb="FF1E1E1E"/>
      <name val="Segoe UI"/>
      <family val="2"/>
      <charset val="204"/>
    </font>
    <font>
      <sz val="12"/>
      <color theme="0"/>
      <name val="Calibri"/>
      <family val="2"/>
      <charset val="204"/>
      <scheme val="minor"/>
    </font>
    <font>
      <b/>
      <sz val="12"/>
      <color rgb="FF1E1E1E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u/>
      <sz val="12"/>
      <color theme="0"/>
      <name val="Calibri"/>
      <family val="2"/>
      <charset val="204"/>
      <scheme val="minor"/>
    </font>
    <font>
      <b/>
      <i/>
      <u/>
      <sz val="12"/>
      <color theme="9" tint="-0.249977111117893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color theme="0"/>
      <name val="Calibri"/>
      <family val="2"/>
      <charset val="204"/>
      <scheme val="minor"/>
    </font>
    <font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 tint="-0.499984740745262"/>
      </left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/>
      <top style="medium">
        <color theme="0" tint="-0.49998474074526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499984740745262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14993743705557422"/>
      </bottom>
      <diagonal/>
    </border>
    <border>
      <left/>
      <right/>
      <top style="medium">
        <color theme="0" tint="-0.49998474074526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medium">
        <color theme="0" tint="-0.49998474074526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3" borderId="0" xfId="0" applyFill="1"/>
    <xf numFmtId="0" fontId="1" fillId="3" borderId="0" xfId="0" applyFont="1" applyFill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3" borderId="0" xfId="0" quotePrefix="1" applyFill="1"/>
    <xf numFmtId="0" fontId="1" fillId="3" borderId="0" xfId="0" applyFont="1" applyFill="1" applyAlignment="1">
      <alignment wrapText="1"/>
    </xf>
    <xf numFmtId="0" fontId="0" fillId="0" borderId="0" xfId="0" applyAlignment="1"/>
    <xf numFmtId="0" fontId="1" fillId="3" borderId="0" xfId="0" applyFont="1" applyFill="1" applyAlignment="1">
      <alignment vertical="top" wrapText="1"/>
    </xf>
    <xf numFmtId="0" fontId="0" fillId="0" borderId="0" xfId="0" applyBorder="1" applyAlignment="1">
      <alignment horizontal="left"/>
    </xf>
    <xf numFmtId="0" fontId="1" fillId="0" borderId="0" xfId="0" applyFont="1" applyFill="1" applyAlignment="1">
      <alignment vertical="top" wrapText="1"/>
    </xf>
    <xf numFmtId="0" fontId="0" fillId="0" borderId="0" xfId="0" quotePrefix="1" applyBorder="1" applyAlignment="1">
      <alignment horizontal="left"/>
    </xf>
    <xf numFmtId="0" fontId="0" fillId="0" borderId="0" xfId="0" applyBorder="1"/>
    <xf numFmtId="0" fontId="0" fillId="0" borderId="0" xfId="0" quotePrefix="1" applyBorder="1"/>
    <xf numFmtId="0" fontId="5" fillId="0" borderId="0" xfId="0" applyFont="1" applyAlignment="1">
      <alignment horizontal="left"/>
    </xf>
    <xf numFmtId="0" fontId="1" fillId="0" borderId="1" xfId="0" applyFont="1" applyBorder="1"/>
    <xf numFmtId="0" fontId="3" fillId="0" borderId="1" xfId="0" applyFont="1" applyBorder="1"/>
    <xf numFmtId="0" fontId="1" fillId="0" borderId="3" xfId="0" applyFont="1" applyBorder="1"/>
    <xf numFmtId="0" fontId="1" fillId="3" borderId="4" xfId="0" applyFont="1" applyFill="1" applyBorder="1"/>
    <xf numFmtId="0" fontId="6" fillId="0" borderId="1" xfId="0" applyFont="1" applyBorder="1" applyAlignment="1">
      <alignment vertical="center"/>
    </xf>
    <xf numFmtId="0" fontId="1" fillId="2" borderId="0" xfId="0" applyFont="1" applyFill="1"/>
    <xf numFmtId="0" fontId="1" fillId="3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" fillId="0" borderId="1" xfId="0" applyFont="1" applyBorder="1" applyAlignment="1" applyProtection="1">
      <protection hidden="1"/>
    </xf>
    <xf numFmtId="0" fontId="1" fillId="0" borderId="1" xfId="0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7" xfId="0" applyFont="1" applyFill="1" applyBorder="1" applyProtection="1">
      <protection hidden="1"/>
    </xf>
    <xf numFmtId="0" fontId="11" fillId="5" borderId="8" xfId="0" applyFont="1" applyFill="1" applyBorder="1" applyAlignment="1">
      <alignment horizontal="right" vertical="center"/>
    </xf>
    <xf numFmtId="0" fontId="3" fillId="0" borderId="1" xfId="0" applyFont="1" applyBorder="1" applyProtection="1">
      <protection locked="0" hidden="1"/>
    </xf>
    <xf numFmtId="0" fontId="1" fillId="0" borderId="1" xfId="0" applyFont="1" applyBorder="1" applyProtection="1">
      <protection locked="0" hidden="1"/>
    </xf>
    <xf numFmtId="0" fontId="5" fillId="0" borderId="0" xfId="0" applyFont="1" applyAlignment="1">
      <alignment horizontal="right"/>
    </xf>
    <xf numFmtId="14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Border="1" applyProtection="1">
      <protection locked="0" hidden="1"/>
    </xf>
    <xf numFmtId="0" fontId="1" fillId="0" borderId="11" xfId="0" applyFont="1" applyBorder="1" applyAlignment="1">
      <alignment vertical="center" wrapText="1"/>
    </xf>
    <xf numFmtId="0" fontId="3" fillId="0" borderId="12" xfId="0" applyFont="1" applyBorder="1" applyProtection="1">
      <protection locked="0" hidden="1"/>
    </xf>
    <xf numFmtId="0" fontId="3" fillId="0" borderId="9" xfId="0" applyFont="1" applyBorder="1" applyProtection="1">
      <protection locked="0" hidden="1"/>
    </xf>
    <xf numFmtId="0" fontId="1" fillId="0" borderId="9" xfId="0" applyFont="1" applyBorder="1" applyProtection="1">
      <protection locked="0" hidden="1"/>
    </xf>
    <xf numFmtId="0" fontId="3" fillId="0" borderId="2" xfId="0" applyFont="1" applyBorder="1"/>
    <xf numFmtId="0" fontId="1" fillId="0" borderId="9" xfId="0" applyFont="1" applyBorder="1" applyProtection="1">
      <protection hidden="1"/>
    </xf>
    <xf numFmtId="0" fontId="3" fillId="0" borderId="2" xfId="0" applyFont="1" applyBorder="1" applyProtection="1">
      <protection locked="0" hidden="1"/>
    </xf>
    <xf numFmtId="0" fontId="3" fillId="0" borderId="11" xfId="0" applyFont="1" applyBorder="1" applyProtection="1">
      <protection locked="0" hidden="1"/>
    </xf>
    <xf numFmtId="0" fontId="1" fillId="0" borderId="12" xfId="0" applyFont="1" applyBorder="1" applyProtection="1">
      <protection locked="0" hidden="1"/>
    </xf>
    <xf numFmtId="0" fontId="1" fillId="0" borderId="17" xfId="0" applyFont="1" applyBorder="1" applyProtection="1">
      <protection hidden="1"/>
    </xf>
    <xf numFmtId="0" fontId="1" fillId="0" borderId="2" xfId="0" applyFont="1" applyBorder="1" applyProtection="1">
      <protection locked="0" hidden="1"/>
    </xf>
    <xf numFmtId="0" fontId="1" fillId="0" borderId="11" xfId="0" applyFont="1" applyBorder="1" applyProtection="1">
      <protection locked="0" hidden="1"/>
    </xf>
    <xf numFmtId="0" fontId="1" fillId="0" borderId="18" xfId="0" applyFont="1" applyBorder="1" applyProtection="1">
      <protection locked="0" hidden="1"/>
    </xf>
    <xf numFmtId="0" fontId="1" fillId="0" borderId="10" xfId="0" applyFont="1" applyBorder="1" applyProtection="1">
      <protection locked="0" hidden="1"/>
    </xf>
    <xf numFmtId="0" fontId="1" fillId="0" borderId="19" xfId="0" applyFont="1" applyBorder="1" applyProtection="1">
      <protection locked="0" hidden="1"/>
    </xf>
    <xf numFmtId="0" fontId="7" fillId="0" borderId="17" xfId="0" applyFont="1" applyFill="1" applyBorder="1" applyAlignment="1" applyProtection="1">
      <alignment horizontal="left" vertical="center"/>
      <protection locked="0" hidden="1"/>
    </xf>
    <xf numFmtId="0" fontId="7" fillId="0" borderId="17" xfId="0" applyFont="1" applyFill="1" applyBorder="1" applyAlignment="1" applyProtection="1">
      <alignment vertical="center"/>
      <protection locked="0" hidden="1"/>
    </xf>
    <xf numFmtId="0" fontId="8" fillId="0" borderId="17" xfId="0" applyFont="1" applyFill="1" applyBorder="1" applyAlignment="1" applyProtection="1">
      <alignment vertical="center"/>
      <protection locked="0" hidden="1"/>
    </xf>
    <xf numFmtId="0" fontId="1" fillId="0" borderId="20" xfId="0" applyFont="1" applyBorder="1" applyProtection="1">
      <protection locked="0" hidden="1"/>
    </xf>
    <xf numFmtId="0" fontId="7" fillId="0" borderId="17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1" fillId="0" borderId="12" xfId="0" applyFont="1" applyBorder="1"/>
    <xf numFmtId="0" fontId="1" fillId="0" borderId="3" xfId="0" applyFont="1" applyBorder="1" applyProtection="1">
      <protection locked="0" hidden="1"/>
    </xf>
    <xf numFmtId="0" fontId="1" fillId="0" borderId="17" xfId="0" applyFont="1" applyBorder="1" applyProtection="1">
      <protection locked="0" hidden="1"/>
    </xf>
    <xf numFmtId="0" fontId="3" fillId="0" borderId="3" xfId="0" applyFont="1" applyBorder="1" applyProtection="1">
      <protection locked="0" hidden="1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 applyProtection="1">
      <alignment vertical="center"/>
      <protection hidden="1"/>
    </xf>
    <xf numFmtId="0" fontId="0" fillId="3" borderId="0" xfId="0" applyFont="1" applyFill="1" applyAlignment="1">
      <alignment horizontal="left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protection locked="0" hidden="1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 vertical="top"/>
    </xf>
    <xf numFmtId="0" fontId="0" fillId="0" borderId="29" xfId="0" applyBorder="1" applyAlignment="1">
      <alignment horizontal="left"/>
    </xf>
    <xf numFmtId="0" fontId="0" fillId="3" borderId="29" xfId="0" applyFill="1" applyBorder="1" applyAlignment="1">
      <alignment horizontal="left"/>
    </xf>
    <xf numFmtId="14" fontId="1" fillId="0" borderId="0" xfId="0" applyNumberFormat="1" applyFont="1" applyAlignment="1">
      <alignment horizontal="right"/>
    </xf>
    <xf numFmtId="0" fontId="1" fillId="4" borderId="22" xfId="0" applyNumberFormat="1" applyFont="1" applyFill="1" applyBorder="1" applyAlignment="1" applyProtection="1">
      <alignment horizontal="left" vertical="top" wrapText="1"/>
      <protection hidden="1"/>
    </xf>
    <xf numFmtId="0" fontId="1" fillId="4" borderId="0" xfId="0" applyNumberFormat="1" applyFont="1" applyFill="1" applyBorder="1" applyAlignment="1" applyProtection="1">
      <alignment horizontal="left" vertical="top" wrapText="1"/>
      <protection hidden="1"/>
    </xf>
    <xf numFmtId="0" fontId="1" fillId="4" borderId="23" xfId="0" applyNumberFormat="1" applyFont="1" applyFill="1" applyBorder="1" applyAlignment="1" applyProtection="1">
      <alignment horizontal="left" vertical="top" wrapText="1"/>
      <protection hidden="1"/>
    </xf>
    <xf numFmtId="0" fontId="1" fillId="0" borderId="14" xfId="0" applyNumberFormat="1" applyFont="1" applyBorder="1" applyAlignment="1" applyProtection="1">
      <alignment horizontal="left" vertical="top" wrapText="1"/>
      <protection locked="0"/>
    </xf>
    <xf numFmtId="0" fontId="1" fillId="0" borderId="15" xfId="0" applyNumberFormat="1" applyFont="1" applyBorder="1" applyAlignment="1" applyProtection="1">
      <alignment horizontal="left" vertical="top"/>
      <protection locked="0"/>
    </xf>
    <xf numFmtId="0" fontId="1" fillId="0" borderId="16" xfId="0" applyNumberFormat="1" applyFont="1" applyBorder="1" applyAlignment="1" applyProtection="1">
      <alignment horizontal="left" vertical="top"/>
      <protection locked="0"/>
    </xf>
    <xf numFmtId="0" fontId="1" fillId="0" borderId="24" xfId="0" applyFont="1" applyFill="1" applyBorder="1" applyAlignment="1" applyProtection="1">
      <alignment horizontal="left" vertical="center"/>
      <protection locked="0"/>
    </xf>
    <xf numFmtId="0" fontId="1" fillId="0" borderId="25" xfId="0" applyFont="1" applyFill="1" applyBorder="1" applyAlignment="1" applyProtection="1">
      <alignment horizontal="left" vertical="center"/>
      <protection locked="0"/>
    </xf>
    <xf numFmtId="0" fontId="1" fillId="0" borderId="26" xfId="0" applyFont="1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center"/>
    </xf>
    <xf numFmtId="0" fontId="1" fillId="0" borderId="14" xfId="0" applyFont="1" applyFill="1" applyBorder="1" applyAlignment="1" applyProtection="1">
      <alignment horizontal="left" vertical="center"/>
      <protection locked="0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1" fillId="0" borderId="16" xfId="0" applyFont="1" applyFill="1" applyBorder="1" applyAlignment="1" applyProtection="1">
      <alignment horizontal="left" vertical="center"/>
      <protection locked="0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1" fillId="4" borderId="21" xfId="0" applyFont="1" applyFill="1" applyBorder="1" applyAlignment="1" applyProtection="1">
      <alignment horizontal="left" vertical="center"/>
      <protection hidden="1"/>
    </xf>
    <xf numFmtId="0" fontId="1" fillId="4" borderId="6" xfId="0" applyFont="1" applyFill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wrapText="1"/>
      <protection hidden="1"/>
    </xf>
    <xf numFmtId="0" fontId="1" fillId="0" borderId="27" xfId="0" applyFont="1" applyBorder="1" applyAlignment="1" applyProtection="1">
      <alignment horizontal="left" wrapText="1"/>
      <protection hidden="1"/>
    </xf>
    <xf numFmtId="0" fontId="1" fillId="0" borderId="2" xfId="0" applyFont="1" applyBorder="1" applyAlignment="1" applyProtection="1">
      <alignment horizontal="left" wrapText="1"/>
      <protection hidden="1"/>
    </xf>
    <xf numFmtId="0" fontId="1" fillId="0" borderId="9" xfId="0" applyFont="1" applyBorder="1" applyAlignment="1" applyProtection="1">
      <alignment horizontal="left" vertical="top" wrapText="1"/>
      <protection hidden="1"/>
    </xf>
    <xf numFmtId="0" fontId="1" fillId="0" borderId="27" xfId="0" applyFont="1" applyBorder="1" applyAlignment="1" applyProtection="1">
      <alignment horizontal="left" vertical="top" wrapText="1"/>
      <protection hidden="1"/>
    </xf>
    <xf numFmtId="0" fontId="1" fillId="0" borderId="28" xfId="0" applyFont="1" applyBorder="1" applyAlignment="1" applyProtection="1">
      <alignment horizontal="left" vertical="top" wrapText="1"/>
      <protection hidden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36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10" dropStyle="combo" dx="16" fmlaLink="Лист1!$A$21" fmlaRange="Лист1!$D$22:$D$23" noThreeD="1" val="0"/>
</file>

<file path=xl/ctrlProps/ctrlProp10.xml><?xml version="1.0" encoding="utf-8"?>
<formControlPr xmlns="http://schemas.microsoft.com/office/spreadsheetml/2009/9/main" objectType="Drop" dropLines="10" dropStyle="combo" dx="16" fmlaLink="Лист1!$A$38" fmlaRange="Лист1!$D$38:$D$40" noThreeD="1" val="0"/>
</file>

<file path=xl/ctrlProps/ctrlProp11.xml><?xml version="1.0" encoding="utf-8"?>
<formControlPr xmlns="http://schemas.microsoft.com/office/spreadsheetml/2009/9/main" objectType="Drop" dropLines="10" dropStyle="combo" dx="16" fmlaLink="Лист1!$A$43" fmlaRange="Лист1!$D$43:$D$44" noThreeD="1" val="0"/>
</file>

<file path=xl/ctrlProps/ctrlProp12.xml><?xml version="1.0" encoding="utf-8"?>
<formControlPr xmlns="http://schemas.microsoft.com/office/spreadsheetml/2009/9/main" objectType="Drop" dropLines="10" dropStyle="combo" dx="16" fmlaLink="Лист1!$A$3" fmlaRange="Лист1!$D$3:$D$4" noThreeD="1" val="0"/>
</file>

<file path=xl/ctrlProps/ctrlProp13.xml><?xml version="1.0" encoding="utf-8"?>
<formControlPr xmlns="http://schemas.microsoft.com/office/spreadsheetml/2009/9/main" objectType="Drop" dropLines="10" dropStyle="combo" dx="16" fmlaLink="Лист1!$A$47" fmlaRange="Лист1!$D$47:$D$50" noThreeD="1" val="0"/>
</file>

<file path=xl/ctrlProps/ctrlProp2.xml><?xml version="1.0" encoding="utf-8"?>
<formControlPr xmlns="http://schemas.microsoft.com/office/spreadsheetml/2009/9/main" objectType="Drop" dropLines="10" dropStyle="combo" dx="16" fmlaLink="Лист1!$A$15" fmlaRange="Лист1!$D$15:$D$18" noThreeD="1" sel="3" val="0"/>
</file>

<file path=xl/ctrlProps/ctrlProp3.xml><?xml version="1.0" encoding="utf-8"?>
<formControlPr xmlns="http://schemas.microsoft.com/office/spreadsheetml/2009/9/main" objectType="Radio" firstButton="1" fmlaLink="Лист1!$A$7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Drop" dropLines="10" dropStyle="combo" dx="16" fmlaLink="Лист1!$A$26" fmlaRange="Лист1!$D$27:$D$29" noThreeD="1" val="0"/>
</file>

<file path=xl/ctrlProps/ctrlProp9.xml><?xml version="1.0" encoding="utf-8"?>
<formControlPr xmlns="http://schemas.microsoft.com/office/spreadsheetml/2009/9/main" objectType="Drop" dropLines="10" dropStyle="combo" dx="16" fmlaLink="Лист1!$A$32" fmlaRange="Лист1!$D$32:$D$35" noThreeD="1" val="0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11</xdr:row>
          <xdr:rowOff>114300</xdr:rowOff>
        </xdr:from>
        <xdr:to>
          <xdr:col>6</xdr:col>
          <xdr:colOff>1724025</xdr:colOff>
          <xdr:row>11</xdr:row>
          <xdr:rowOff>381000</xdr:rowOff>
        </xdr:to>
        <xdr:sp macro="" textlink="">
          <xdr:nvSpPr>
            <xdr:cNvPr id="2151" name="Drop Down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9</xdr:row>
          <xdr:rowOff>28575</xdr:rowOff>
        </xdr:from>
        <xdr:to>
          <xdr:col>6</xdr:col>
          <xdr:colOff>1724025</xdr:colOff>
          <xdr:row>9</xdr:row>
          <xdr:rowOff>295275</xdr:rowOff>
        </xdr:to>
        <xdr:sp macro="" textlink="">
          <xdr:nvSpPr>
            <xdr:cNvPr id="2162" name="Drop Down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</xdr:row>
          <xdr:rowOff>19050</xdr:rowOff>
        </xdr:from>
        <xdr:to>
          <xdr:col>8</xdr:col>
          <xdr:colOff>1590675</xdr:colOff>
          <xdr:row>4</xdr:row>
          <xdr:rowOff>0</xdr:rowOff>
        </xdr:to>
        <xdr:sp macro="" textlink="">
          <xdr:nvSpPr>
            <xdr:cNvPr id="2164" name="Option Button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Bluetooth Low Energy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</xdr:row>
          <xdr:rowOff>19050</xdr:rowOff>
        </xdr:from>
        <xdr:to>
          <xdr:col>8</xdr:col>
          <xdr:colOff>1590675</xdr:colOff>
          <xdr:row>5</xdr:row>
          <xdr:rowOff>0</xdr:rowOff>
        </xdr:to>
        <xdr:sp macro="" textlink="">
          <xdr:nvSpPr>
            <xdr:cNvPr id="2165" name="Option Button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аналоговый вход «токовая петля 4-20 мА» и Bluetooth Low Energy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</xdr:row>
          <xdr:rowOff>19050</xdr:rowOff>
        </xdr:from>
        <xdr:to>
          <xdr:col>8</xdr:col>
          <xdr:colOff>1590675</xdr:colOff>
          <xdr:row>6</xdr:row>
          <xdr:rowOff>0</xdr:rowOff>
        </xdr:to>
        <xdr:sp macro="" textlink="">
          <xdr:nvSpPr>
            <xdr:cNvPr id="2166" name="Option Button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аналоговый вход «токовая петля 4-20 мА», цифровой выход (открытый коллектор) и Bluetooth Low Energy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</xdr:row>
          <xdr:rowOff>0</xdr:rowOff>
        </xdr:from>
        <xdr:to>
          <xdr:col>8</xdr:col>
          <xdr:colOff>1590675</xdr:colOff>
          <xdr:row>6</xdr:row>
          <xdr:rowOff>342900</xdr:rowOff>
        </xdr:to>
        <xdr:sp macro="" textlink="">
          <xdr:nvSpPr>
            <xdr:cNvPr id="2167" name="Option Button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RS485 и Bluetooth Low Energy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7</xdr:row>
          <xdr:rowOff>0</xdr:rowOff>
        </xdr:from>
        <xdr:to>
          <xdr:col>8</xdr:col>
          <xdr:colOff>1590675</xdr:colOff>
          <xdr:row>7</xdr:row>
          <xdr:rowOff>342900</xdr:rowOff>
        </xdr:to>
        <xdr:sp macro="" textlink="">
          <xdr:nvSpPr>
            <xdr:cNvPr id="2168" name="Option Button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RS485, цифровой выход (открытый коллектор) и Bluetooth Low Energy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13</xdr:row>
          <xdr:rowOff>28575</xdr:rowOff>
        </xdr:from>
        <xdr:to>
          <xdr:col>6</xdr:col>
          <xdr:colOff>1724025</xdr:colOff>
          <xdr:row>13</xdr:row>
          <xdr:rowOff>295275</xdr:rowOff>
        </xdr:to>
        <xdr:sp macro="" textlink="">
          <xdr:nvSpPr>
            <xdr:cNvPr id="2169" name="Drop Down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15</xdr:row>
          <xdr:rowOff>38100</xdr:rowOff>
        </xdr:from>
        <xdr:to>
          <xdr:col>6</xdr:col>
          <xdr:colOff>1724025</xdr:colOff>
          <xdr:row>15</xdr:row>
          <xdr:rowOff>304800</xdr:rowOff>
        </xdr:to>
        <xdr:sp macro="" textlink="">
          <xdr:nvSpPr>
            <xdr:cNvPr id="2170" name="Drop Down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17</xdr:row>
          <xdr:rowOff>38100</xdr:rowOff>
        </xdr:from>
        <xdr:to>
          <xdr:col>6</xdr:col>
          <xdr:colOff>1724025</xdr:colOff>
          <xdr:row>17</xdr:row>
          <xdr:rowOff>304800</xdr:rowOff>
        </xdr:to>
        <xdr:sp macro="" textlink="">
          <xdr:nvSpPr>
            <xdr:cNvPr id="2171" name="Drop Down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38100</xdr:rowOff>
        </xdr:from>
        <xdr:to>
          <xdr:col>6</xdr:col>
          <xdr:colOff>1724025</xdr:colOff>
          <xdr:row>19</xdr:row>
          <xdr:rowOff>304800</xdr:rowOff>
        </xdr:to>
        <xdr:sp macro="" textlink="">
          <xdr:nvSpPr>
            <xdr:cNvPr id="2172" name="Drop Down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</xdr:row>
          <xdr:rowOff>28575</xdr:rowOff>
        </xdr:from>
        <xdr:to>
          <xdr:col>6</xdr:col>
          <xdr:colOff>1724025</xdr:colOff>
          <xdr:row>2</xdr:row>
          <xdr:rowOff>295275</xdr:rowOff>
        </xdr:to>
        <xdr:sp macro="" textlink="">
          <xdr:nvSpPr>
            <xdr:cNvPr id="2173" name="Drop Down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21</xdr:row>
          <xdr:rowOff>38100</xdr:rowOff>
        </xdr:from>
        <xdr:to>
          <xdr:col>6</xdr:col>
          <xdr:colOff>1724025</xdr:colOff>
          <xdr:row>21</xdr:row>
          <xdr:rowOff>304800</xdr:rowOff>
        </xdr:to>
        <xdr:sp macro="" textlink="">
          <xdr:nvSpPr>
            <xdr:cNvPr id="2174" name="Drop Down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180975</xdr:rowOff>
    </xdr:from>
    <xdr:to>
      <xdr:col>1</xdr:col>
      <xdr:colOff>2200275</xdr:colOff>
      <xdr:row>3</xdr:row>
      <xdr:rowOff>2952750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4117"/>
        <a:stretch/>
      </xdr:blipFill>
      <xdr:spPr>
        <a:xfrm>
          <a:off x="333375" y="847725"/>
          <a:ext cx="2143125" cy="277177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2476500</xdr:colOff>
      <xdr:row>3</xdr:row>
      <xdr:rowOff>48749</xdr:rowOff>
    </xdr:from>
    <xdr:to>
      <xdr:col>1</xdr:col>
      <xdr:colOff>6180198</xdr:colOff>
      <xdr:row>3</xdr:row>
      <xdr:rowOff>3210869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2725" y="715499"/>
          <a:ext cx="3703698" cy="31621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Projects/A8x5/Doc/A835%20&#1058;&#1077;&#1088;&#1084;&#1086;&#1084;&#1072;&#1085;&#1086;&#1084;&#1077;&#1090;&#1088;.&#1054;&#1087;&#1088;&#1086;&#1089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ый лист термоманометр"/>
      <sheetName val="Справка"/>
      <sheetName val="Лист1"/>
    </sheetNames>
    <sheetDataSet>
      <sheetData sheetId="0">
        <row r="4">
          <cell r="L4">
            <v>0.6</v>
          </cell>
        </row>
        <row r="5">
          <cell r="L5">
            <v>1</v>
          </cell>
        </row>
        <row r="6">
          <cell r="L6">
            <v>1.6</v>
          </cell>
        </row>
        <row r="7">
          <cell r="L7">
            <v>2.5</v>
          </cell>
        </row>
        <row r="8">
          <cell r="L8">
            <v>4</v>
          </cell>
        </row>
        <row r="9">
          <cell r="L9">
            <v>6</v>
          </cell>
        </row>
        <row r="10">
          <cell r="L10">
            <v>10</v>
          </cell>
        </row>
        <row r="11">
          <cell r="L11">
            <v>16</v>
          </cell>
        </row>
        <row r="12">
          <cell r="L12">
            <v>25</v>
          </cell>
        </row>
        <row r="13">
          <cell r="L13">
            <v>40</v>
          </cell>
        </row>
        <row r="14">
          <cell r="L14">
            <v>60</v>
          </cell>
        </row>
        <row r="15">
          <cell r="L15" t="str">
            <v>другое</v>
          </cell>
        </row>
        <row r="17">
          <cell r="L17">
            <v>0.15</v>
          </cell>
        </row>
        <row r="18">
          <cell r="L18">
            <v>0.25</v>
          </cell>
        </row>
        <row r="19">
          <cell r="L19">
            <v>0.5</v>
          </cell>
        </row>
        <row r="20">
          <cell r="L20">
            <v>1</v>
          </cell>
        </row>
        <row r="21">
          <cell r="L21">
            <v>1.5</v>
          </cell>
        </row>
        <row r="22">
          <cell r="L22" t="str">
            <v>другое</v>
          </cell>
        </row>
        <row r="24">
          <cell r="I24">
            <v>1</v>
          </cell>
        </row>
        <row r="25">
          <cell r="L25" t="str">
            <v>корпус датчика</v>
          </cell>
        </row>
        <row r="26">
          <cell r="L26" t="str">
            <v>встроенный погружной термощуп (жидкость или газ)</v>
          </cell>
        </row>
        <row r="27">
          <cell r="L27" t="str">
            <v>выносной погружной термощуп (жидкость или газ)</v>
          </cell>
        </row>
        <row r="36">
          <cell r="L36">
            <v>0.5</v>
          </cell>
          <cell r="M36">
            <v>0.5</v>
          </cell>
          <cell r="N36">
            <v>2</v>
          </cell>
        </row>
        <row r="37">
          <cell r="L37">
            <v>1</v>
          </cell>
          <cell r="M37">
            <v>1</v>
          </cell>
          <cell r="N37">
            <v>1</v>
          </cell>
        </row>
        <row r="38">
          <cell r="L38">
            <v>2</v>
          </cell>
          <cell r="M38">
            <v>2</v>
          </cell>
          <cell r="N38" t="str">
            <v>0.5</v>
          </cell>
        </row>
        <row r="40">
          <cell r="M40">
            <v>46</v>
          </cell>
          <cell r="N40">
            <v>46</v>
          </cell>
        </row>
        <row r="41">
          <cell r="M41">
            <v>64</v>
          </cell>
          <cell r="N41">
            <v>64</v>
          </cell>
        </row>
        <row r="42">
          <cell r="M42">
            <v>100</v>
          </cell>
          <cell r="N42">
            <v>100</v>
          </cell>
        </row>
        <row r="43">
          <cell r="M43" t="str">
            <v>другая</v>
          </cell>
          <cell r="N43" t="str">
            <v>другая</v>
          </cell>
        </row>
        <row r="45">
          <cell r="M45">
            <v>5</v>
          </cell>
          <cell r="N45">
            <v>5</v>
          </cell>
        </row>
        <row r="46">
          <cell r="M46">
            <v>6</v>
          </cell>
          <cell r="N46">
            <v>6</v>
          </cell>
        </row>
        <row r="47">
          <cell r="M47">
            <v>8</v>
          </cell>
          <cell r="N47">
            <v>8</v>
          </cell>
        </row>
        <row r="48">
          <cell r="M48">
            <v>10</v>
          </cell>
          <cell r="N48">
            <v>10</v>
          </cell>
        </row>
        <row r="49">
          <cell r="M49" t="str">
            <v>другой</v>
          </cell>
          <cell r="N49" t="str">
            <v>другой</v>
          </cell>
        </row>
        <row r="51">
          <cell r="N51" t="str">
            <v>штуцер подвижный</v>
          </cell>
        </row>
        <row r="52">
          <cell r="N52" t="str">
            <v>штуцер приварной</v>
          </cell>
        </row>
        <row r="53">
          <cell r="N53" t="str">
            <v>штуцер подпружиненный</v>
          </cell>
        </row>
        <row r="54">
          <cell r="N54" t="str">
            <v>фланец</v>
          </cell>
        </row>
        <row r="55">
          <cell r="N55" t="str">
            <v>другой</v>
          </cell>
        </row>
        <row r="57">
          <cell r="N57" t="str">
            <v>бескорпусной с выводами</v>
          </cell>
        </row>
        <row r="58">
          <cell r="N58" t="str">
            <v>коммутационная (клеммная) головка</v>
          </cell>
        </row>
        <row r="59">
          <cell r="N59" t="str">
            <v>другой</v>
          </cell>
        </row>
        <row r="61">
          <cell r="N61">
            <v>1</v>
          </cell>
        </row>
        <row r="62">
          <cell r="N62">
            <v>1.5</v>
          </cell>
        </row>
        <row r="63">
          <cell r="N63">
            <v>2</v>
          </cell>
        </row>
        <row r="64">
          <cell r="N64">
            <v>2.5</v>
          </cell>
        </row>
        <row r="65">
          <cell r="N65">
            <v>3</v>
          </cell>
        </row>
        <row r="66">
          <cell r="N66">
            <v>4</v>
          </cell>
        </row>
        <row r="67">
          <cell r="N67">
            <v>5</v>
          </cell>
        </row>
        <row r="68">
          <cell r="N68">
            <v>7</v>
          </cell>
        </row>
        <row r="69">
          <cell r="N69">
            <v>10</v>
          </cell>
        </row>
        <row r="71">
          <cell r="N71" t="str">
            <v>без дополнительной защиты</v>
          </cell>
        </row>
        <row r="72">
          <cell r="N72" t="str">
            <v>труба гофрированная полимерная</v>
          </cell>
        </row>
        <row r="73">
          <cell r="N73" t="str">
            <v xml:space="preserve">другая </v>
          </cell>
        </row>
        <row r="75">
          <cell r="M75" t="str">
            <v>не требуется</v>
          </cell>
          <cell r="N75" t="str">
            <v>не требуется</v>
          </cell>
        </row>
        <row r="76">
          <cell r="M76" t="str">
            <v>М20х1.5</v>
          </cell>
          <cell r="N76" t="str">
            <v>М20х1.5</v>
          </cell>
        </row>
        <row r="77">
          <cell r="M77" t="str">
            <v>G1/2</v>
          </cell>
          <cell r="N77" t="str">
            <v>G1/2</v>
          </cell>
        </row>
        <row r="78">
          <cell r="M78" t="str">
            <v>другая</v>
          </cell>
          <cell r="N78" t="str">
            <v>другая</v>
          </cell>
        </row>
        <row r="80">
          <cell r="L80" t="str">
            <v>LoRaWAN</v>
          </cell>
        </row>
        <row r="81">
          <cell r="L81" t="str">
            <v>нет</v>
          </cell>
        </row>
        <row r="87">
          <cell r="L87" t="str">
            <v>обычное</v>
          </cell>
        </row>
        <row r="88">
          <cell r="L88" t="str">
            <v>коррозионно-стойкое</v>
          </cell>
        </row>
        <row r="90">
          <cell r="L90" t="str">
            <v>М20х1.5</v>
          </cell>
        </row>
        <row r="91">
          <cell r="L91" t="str">
            <v>G1/2</v>
          </cell>
        </row>
        <row r="92">
          <cell r="L92" t="str">
            <v>другая</v>
          </cell>
        </row>
        <row r="94">
          <cell r="L94" t="str">
            <v>не требуется</v>
          </cell>
        </row>
        <row r="95">
          <cell r="L95" t="str">
            <v>кронштейн Г-образный</v>
          </cell>
        </row>
        <row r="96">
          <cell r="L96" t="str">
            <v>отвод-охладитель</v>
          </cell>
        </row>
        <row r="97">
          <cell r="L97" t="str">
            <v>клапан, отвод-охладитель</v>
          </cell>
        </row>
        <row r="98">
          <cell r="L98" t="str">
            <v>блок вентильный, гильза защитная</v>
          </cell>
        </row>
        <row r="99">
          <cell r="L99" t="str">
            <v>другая</v>
          </cell>
        </row>
        <row r="101">
          <cell r="L101" t="str">
            <v>не требуется</v>
          </cell>
        </row>
        <row r="102">
          <cell r="L102" t="str">
            <v>требуется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4" name="Таблица4" displayName="Таблица4" ref="D7:E12" totalsRowShown="0" headerRowDxfId="35" dataDxfId="34">
  <autoFilter ref="D7:E12"/>
  <tableColumns count="2">
    <tableColumn id="1" name="Столбец1" dataDxfId="33"/>
    <tableColumn id="2" name="Столбец2" dataDxfId="3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5" name="Таблица5" displayName="Таблица5" ref="D14:E18" totalsRowShown="0" headerRowDxfId="31" dataDxfId="30">
  <autoFilter ref="D14:E18"/>
  <tableColumns count="2">
    <tableColumn id="1" name="Столбец1" dataDxfId="29"/>
    <tableColumn id="2" name="Столбец3" dataDxfId="2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7" name="Таблица7" displayName="Таблица7" ref="D21:E23" totalsRowShown="0" headerRowDxfId="27" dataDxfId="26">
  <autoFilter ref="D21:E23"/>
  <tableColumns count="2">
    <tableColumn id="1" name="Столбец1" dataDxfId="25"/>
    <tableColumn id="2" name="Столбец2" dataDxfId="24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1" name="Таблица72" displayName="Таблица72" ref="D26:E29" totalsRowShown="0" headerRowDxfId="23" dataDxfId="22">
  <autoFilter ref="D26:E29"/>
  <tableColumns count="2">
    <tableColumn id="1" name="Столбец1" dataDxfId="21"/>
    <tableColumn id="2" name="Столбец2" dataDxfId="20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2" name="Таблица53" displayName="Таблица53" ref="D31:E35" totalsRowShown="0" headerRowDxfId="19" dataDxfId="18">
  <autoFilter ref="D31:E35"/>
  <tableColumns count="2">
    <tableColumn id="1" name="Столбец1" dataDxfId="17"/>
    <tableColumn id="2" name="Столбец3" dataDxfId="16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3" name="Таблица534" displayName="Таблица534" ref="D37:E40" totalsRowShown="0" headerRowDxfId="15" dataDxfId="14">
  <autoFilter ref="D37:E40"/>
  <tableColumns count="2">
    <tableColumn id="1" name="Столбец1" dataDxfId="13"/>
    <tableColumn id="2" name="Столбец3" dataDxfId="12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6" name="Таблица5347" displayName="Таблица5347" ref="D42:E44" totalsRowShown="0" headerRowDxfId="11" dataDxfId="10">
  <autoFilter ref="D42:E44"/>
  <tableColumns count="2">
    <tableColumn id="1" name="Столбец1" dataDxfId="9"/>
    <tableColumn id="2" name="Столбец3" dataDxfId="8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Таблица53479" displayName="Таблица53479" ref="D2:E4" totalsRowShown="0" headerRowDxfId="7" dataDxfId="6">
  <autoFilter ref="D2:E4"/>
  <tableColumns count="2">
    <tableColumn id="1" name="Столбец1" dataDxfId="5"/>
    <tableColumn id="2" name="Столбец3" dataDxfId="4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9" name="Таблица53410" displayName="Таблица53410" ref="D46:E50" totalsRowShown="0" headerRowDxfId="3" dataDxfId="2">
  <autoFilter ref="D46:E50"/>
  <tableColumns count="2">
    <tableColumn id="1" name="Столбец1" dataDxfId="1">
      <calculatedColumnFormula>OFFSET(F47,,$A$3-1)</calculatedColumnFormula>
    </tableColumn>
    <tableColumn id="2" name="Столбец3" dataDxfId="0">
      <calculatedColumnFormula>OFFSET(I47,,$A$3-1)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K44"/>
  <sheetViews>
    <sheetView tabSelected="1" zoomScaleNormal="100" workbookViewId="0">
      <selection activeCell="L14" sqref="L14"/>
    </sheetView>
  </sheetViews>
  <sheetFormatPr defaultRowHeight="15.75" x14ac:dyDescent="0.25"/>
  <cols>
    <col min="1" max="1" width="1.5703125" style="1" customWidth="1"/>
    <col min="2" max="2" width="3.28515625" style="1" customWidth="1"/>
    <col min="3" max="3" width="13.42578125" style="1" customWidth="1"/>
    <col min="4" max="4" width="4.42578125" style="1" customWidth="1"/>
    <col min="5" max="5" width="16" style="1" customWidth="1"/>
    <col min="6" max="6" width="9.42578125" style="1" customWidth="1"/>
    <col min="7" max="7" width="26.28515625" style="1" customWidth="1"/>
    <col min="8" max="8" width="0.7109375" style="1" customWidth="1"/>
    <col min="9" max="9" width="24.85546875" style="1" customWidth="1"/>
    <col min="10" max="10" width="1.28515625" style="23" customWidth="1"/>
    <col min="11" max="11" width="4.140625" style="28" customWidth="1"/>
    <col min="12" max="14" width="12.140625" style="1" customWidth="1"/>
    <col min="15" max="16384" width="9.140625" style="1"/>
  </cols>
  <sheetData>
    <row r="1" spans="1:10" ht="17.25" customHeight="1" x14ac:dyDescent="0.25">
      <c r="A1" s="94"/>
      <c r="B1" s="94"/>
      <c r="C1" s="94"/>
      <c r="D1" s="94"/>
      <c r="E1" s="94"/>
      <c r="F1" s="94"/>
      <c r="G1" s="94"/>
      <c r="H1" s="94"/>
      <c r="I1" s="39" t="s">
        <v>46</v>
      </c>
      <c r="J1" s="44"/>
    </row>
    <row r="2" spans="1:10" ht="44.25" customHeight="1" x14ac:dyDescent="0.25">
      <c r="A2" s="23"/>
      <c r="B2" s="23"/>
      <c r="C2" s="27" t="s">
        <v>12</v>
      </c>
      <c r="D2" s="27"/>
      <c r="E2" s="27"/>
      <c r="F2" s="27"/>
      <c r="G2" s="23"/>
      <c r="H2" s="23"/>
      <c r="I2" s="46" t="s">
        <v>7</v>
      </c>
      <c r="J2" s="44"/>
    </row>
    <row r="3" spans="1:10" ht="24.95" customHeight="1" x14ac:dyDescent="0.25">
      <c r="A3" s="23"/>
      <c r="B3" s="34" t="s">
        <v>53</v>
      </c>
      <c r="C3" s="34"/>
      <c r="D3" s="76"/>
      <c r="E3" s="76"/>
      <c r="F3" s="41"/>
      <c r="G3" s="41" t="s">
        <v>11</v>
      </c>
      <c r="H3" s="41"/>
      <c r="I3" s="48"/>
      <c r="J3" s="40"/>
    </row>
    <row r="4" spans="1:10" ht="28.5" customHeight="1" x14ac:dyDescent="0.25">
      <c r="A4" s="23"/>
      <c r="B4" s="73" t="s">
        <v>21</v>
      </c>
      <c r="C4" s="35"/>
      <c r="D4" s="41"/>
      <c r="E4" s="41"/>
      <c r="F4" s="41"/>
      <c r="G4" s="41"/>
      <c r="H4" s="49"/>
      <c r="I4" s="35"/>
      <c r="J4" s="50"/>
    </row>
    <row r="5" spans="1:10" ht="28.5" customHeight="1" x14ac:dyDescent="0.25">
      <c r="A5" s="23"/>
      <c r="B5" s="34"/>
      <c r="C5" s="35"/>
      <c r="D5" s="41"/>
      <c r="E5" s="41"/>
      <c r="F5" s="41"/>
      <c r="G5" s="41"/>
      <c r="H5" s="49"/>
      <c r="I5" s="35"/>
      <c r="J5" s="50"/>
    </row>
    <row r="6" spans="1:10" ht="28.5" customHeight="1" x14ac:dyDescent="0.25">
      <c r="A6" s="23"/>
      <c r="B6" s="34"/>
      <c r="C6" s="35"/>
      <c r="D6" s="41"/>
      <c r="E6" s="41"/>
      <c r="F6" s="41"/>
      <c r="G6" s="41"/>
      <c r="H6" s="49"/>
      <c r="I6" s="35"/>
      <c r="J6" s="50"/>
    </row>
    <row r="7" spans="1:10" ht="28.5" customHeight="1" x14ac:dyDescent="0.25">
      <c r="A7" s="23"/>
      <c r="B7" s="34"/>
      <c r="C7" s="35"/>
      <c r="D7" s="41"/>
      <c r="E7" s="41"/>
      <c r="F7" s="41"/>
      <c r="G7" s="41"/>
      <c r="H7" s="49"/>
      <c r="I7" s="35"/>
      <c r="J7" s="50"/>
    </row>
    <row r="8" spans="1:10" ht="28.5" customHeight="1" x14ac:dyDescent="0.25">
      <c r="A8" s="23"/>
      <c r="B8" s="34"/>
      <c r="C8" s="35"/>
      <c r="D8" s="41"/>
      <c r="E8" s="41"/>
      <c r="F8" s="41"/>
      <c r="G8" s="41"/>
      <c r="H8" s="49"/>
      <c r="I8" s="35"/>
      <c r="J8" s="50"/>
    </row>
    <row r="9" spans="1:10" ht="3.95" customHeight="1" thickBot="1" x14ac:dyDescent="0.3">
      <c r="A9" s="23"/>
      <c r="B9" s="34"/>
      <c r="C9" s="35"/>
      <c r="D9" s="41"/>
      <c r="E9" s="41"/>
      <c r="F9" s="41"/>
      <c r="G9" s="41"/>
      <c r="H9" s="49"/>
      <c r="I9" s="47"/>
      <c r="J9" s="24"/>
    </row>
    <row r="10" spans="1:10" ht="24.95" customHeight="1" x14ac:dyDescent="0.25">
      <c r="A10" s="23"/>
      <c r="B10" s="34" t="str">
        <f>IF(AND(Лист1!A3=1,Лист1!A7&gt;1),"Длина кабеля, м","")</f>
        <v>Длина кабеля, м</v>
      </c>
      <c r="C10" s="34"/>
      <c r="D10" s="76"/>
      <c r="E10" s="76"/>
      <c r="F10" s="41"/>
      <c r="G10" s="41" t="s">
        <v>11</v>
      </c>
      <c r="H10" s="41"/>
      <c r="I10" s="71"/>
      <c r="J10" s="40"/>
    </row>
    <row r="11" spans="1:10" ht="3.95" customHeight="1" x14ac:dyDescent="0.25">
      <c r="A11" s="23"/>
      <c r="B11" s="34"/>
      <c r="C11" s="34"/>
      <c r="D11" s="76"/>
      <c r="E11" s="76"/>
      <c r="F11" s="41"/>
      <c r="G11" s="41"/>
      <c r="H11" s="41"/>
      <c r="I11" s="45"/>
      <c r="J11" s="40"/>
    </row>
    <row r="12" spans="1:10" ht="31.5" customHeight="1" x14ac:dyDescent="0.25">
      <c r="A12" s="23"/>
      <c r="B12" s="101" t="s">
        <v>37</v>
      </c>
      <c r="C12" s="102"/>
      <c r="D12" s="102"/>
      <c r="E12" s="103"/>
      <c r="F12" s="41"/>
      <c r="G12" s="41"/>
      <c r="H12" s="41"/>
      <c r="I12" s="48" t="s">
        <v>11</v>
      </c>
      <c r="J12" s="40"/>
    </row>
    <row r="13" spans="1:10" ht="3.95" customHeight="1" x14ac:dyDescent="0.25">
      <c r="A13" s="23"/>
      <c r="B13" s="34" t="e">
        <f>IF(AND(OR(Лист1!#REF!="встроенный",Лист1!#REF!="встроенная"),OR(Лист1!C21="LoRa",Лист1!C21="NB-IoT")),"Антенна","")</f>
        <v>#REF!</v>
      </c>
      <c r="C13" s="34"/>
      <c r="D13" s="76"/>
      <c r="E13" s="76"/>
      <c r="F13" s="68"/>
      <c r="G13" s="68"/>
      <c r="H13" s="68"/>
      <c r="I13" s="53"/>
      <c r="J13" s="40"/>
    </row>
    <row r="14" spans="1:10" ht="24.95" customHeight="1" x14ac:dyDescent="0.25">
      <c r="A14" s="23"/>
      <c r="B14" s="101" t="s">
        <v>40</v>
      </c>
      <c r="C14" s="102"/>
      <c r="D14" s="102"/>
      <c r="E14" s="103"/>
      <c r="F14" s="41"/>
      <c r="G14" s="41"/>
      <c r="H14" s="41"/>
      <c r="I14" s="48"/>
      <c r="J14" s="40"/>
    </row>
    <row r="15" spans="1:10" ht="3.95" customHeight="1" thickBot="1" x14ac:dyDescent="0.3">
      <c r="A15" s="23"/>
      <c r="B15" s="101"/>
      <c r="C15" s="102"/>
      <c r="D15" s="102"/>
      <c r="E15" s="103"/>
      <c r="F15" s="41"/>
      <c r="G15" s="41"/>
      <c r="H15" s="41"/>
      <c r="I15" s="48"/>
      <c r="J15" s="40"/>
    </row>
    <row r="16" spans="1:10" ht="24.95" customHeight="1" x14ac:dyDescent="0.25">
      <c r="A16" s="23"/>
      <c r="B16" s="34" t="str">
        <f>IF(Лист1!B26&lt;&gt;"встроенная","Длина кабеля антенны, м","")</f>
        <v/>
      </c>
      <c r="C16" s="34"/>
      <c r="D16" s="76"/>
      <c r="E16" s="76"/>
      <c r="F16" s="41"/>
      <c r="G16" s="41" t="s">
        <v>11</v>
      </c>
      <c r="H16" s="41"/>
      <c r="I16" s="71"/>
      <c r="J16" s="40"/>
    </row>
    <row r="17" spans="1:10" ht="3.95" customHeight="1" x14ac:dyDescent="0.25">
      <c r="A17" s="23"/>
      <c r="B17" s="34"/>
      <c r="C17" s="34"/>
      <c r="D17" s="76"/>
      <c r="E17" s="76"/>
      <c r="F17" s="41"/>
      <c r="G17" s="41"/>
      <c r="H17" s="41"/>
      <c r="I17" s="75"/>
      <c r="J17" s="40"/>
    </row>
    <row r="18" spans="1:10" ht="24.95" customHeight="1" x14ac:dyDescent="0.25">
      <c r="A18" s="23"/>
      <c r="B18" s="34" t="str">
        <f>IF(Лист1!A3=1,"Тип питания","")</f>
        <v>Тип питания</v>
      </c>
      <c r="C18" s="34"/>
      <c r="D18" s="76"/>
      <c r="E18" s="76"/>
      <c r="F18" s="41"/>
      <c r="G18" s="41" t="s">
        <v>11</v>
      </c>
      <c r="H18" s="41"/>
      <c r="I18" s="48"/>
      <c r="J18" s="40"/>
    </row>
    <row r="19" spans="1:10" ht="3.95" customHeight="1" x14ac:dyDescent="0.25">
      <c r="A19" s="23"/>
      <c r="B19" s="34"/>
      <c r="C19" s="34"/>
      <c r="D19" s="76"/>
      <c r="E19" s="76"/>
      <c r="F19" s="41"/>
      <c r="G19" s="41"/>
      <c r="H19" s="41"/>
      <c r="I19" s="48"/>
      <c r="J19" s="40"/>
    </row>
    <row r="20" spans="1:10" ht="24.95" customHeight="1" x14ac:dyDescent="0.25">
      <c r="A20" s="23"/>
      <c r="B20" s="34" t="s">
        <v>52</v>
      </c>
      <c r="C20" s="34"/>
      <c r="D20" s="76"/>
      <c r="E20" s="76"/>
      <c r="F20" s="41"/>
      <c r="G20" s="41" t="s">
        <v>11</v>
      </c>
      <c r="H20" s="41"/>
      <c r="I20" s="48"/>
      <c r="J20" s="40"/>
    </row>
    <row r="21" spans="1:10" ht="3.95" customHeight="1" thickBot="1" x14ac:dyDescent="0.3">
      <c r="A21" s="23"/>
      <c r="B21" s="34"/>
      <c r="C21" s="34"/>
      <c r="D21" s="76"/>
      <c r="E21" s="76"/>
      <c r="F21" s="41"/>
      <c r="G21" s="41"/>
      <c r="H21" s="41"/>
      <c r="I21" s="48"/>
      <c r="J21" s="40"/>
    </row>
    <row r="22" spans="1:10" ht="24.95" customHeight="1" x14ac:dyDescent="0.25">
      <c r="A22" s="23"/>
      <c r="B22" s="34" t="s">
        <v>58</v>
      </c>
      <c r="C22" s="34"/>
      <c r="D22" s="76"/>
      <c r="E22" s="76"/>
      <c r="F22" s="41"/>
      <c r="G22" s="41" t="s">
        <v>11</v>
      </c>
      <c r="H22" s="41"/>
      <c r="I22" s="71"/>
      <c r="J22" s="40"/>
    </row>
    <row r="23" spans="1:10" ht="7.5" customHeight="1" thickBot="1" x14ac:dyDescent="0.3">
      <c r="A23" s="23"/>
      <c r="B23" s="34"/>
      <c r="C23" s="34"/>
      <c r="D23" s="76"/>
      <c r="E23" s="76"/>
      <c r="F23" s="41"/>
      <c r="G23" s="41"/>
      <c r="H23" s="41"/>
      <c r="I23" s="48"/>
      <c r="J23" s="40"/>
    </row>
    <row r="24" spans="1:10" ht="75" customHeight="1" x14ac:dyDescent="0.25">
      <c r="A24" s="23"/>
      <c r="B24" s="104" t="s">
        <v>6</v>
      </c>
      <c r="C24" s="105"/>
      <c r="D24" s="105"/>
      <c r="E24" s="106"/>
      <c r="F24" s="85"/>
      <c r="G24" s="86"/>
      <c r="H24" s="86"/>
      <c r="I24" s="87"/>
      <c r="J24" s="52"/>
    </row>
    <row r="25" spans="1:10" ht="3.95" customHeight="1" thickBot="1" x14ac:dyDescent="0.3">
      <c r="A25" s="23"/>
      <c r="B25" s="35"/>
      <c r="C25" s="35"/>
      <c r="D25" s="69"/>
      <c r="E25" s="69"/>
      <c r="F25" s="69"/>
      <c r="G25" s="59"/>
      <c r="H25" s="59"/>
      <c r="I25" s="54"/>
      <c r="J25" s="41"/>
    </row>
    <row r="26" spans="1:10" ht="24.95" customHeight="1" x14ac:dyDescent="0.25">
      <c r="A26" s="23"/>
      <c r="B26" s="35" t="s">
        <v>5</v>
      </c>
      <c r="C26" s="49"/>
      <c r="D26" s="91"/>
      <c r="E26" s="92"/>
      <c r="F26" s="93"/>
      <c r="G26" s="52" t="s">
        <v>11</v>
      </c>
      <c r="H26" s="41"/>
      <c r="I26" s="49"/>
      <c r="J26" s="41"/>
    </row>
    <row r="27" spans="1:10" ht="3.95" customHeight="1" x14ac:dyDescent="0.25">
      <c r="A27" s="23"/>
      <c r="B27" s="35"/>
      <c r="C27" s="35"/>
      <c r="D27" s="59"/>
      <c r="E27" s="59"/>
      <c r="F27" s="59"/>
      <c r="G27" s="40"/>
      <c r="H27" s="41"/>
      <c r="I27" s="49"/>
      <c r="J27" s="41"/>
    </row>
    <row r="28" spans="1:10" ht="24.95" customHeight="1" thickBot="1" x14ac:dyDescent="0.3">
      <c r="A28" s="23"/>
      <c r="B28" s="35" t="s">
        <v>0</v>
      </c>
      <c r="C28" s="35"/>
      <c r="D28" s="41"/>
      <c r="E28" s="41"/>
      <c r="F28" s="68"/>
      <c r="G28" s="70"/>
      <c r="H28" s="68"/>
      <c r="I28" s="57"/>
      <c r="J28" s="41"/>
    </row>
    <row r="29" spans="1:10" ht="24.95" customHeight="1" x14ac:dyDescent="0.25">
      <c r="A29" s="23"/>
      <c r="B29" s="35"/>
      <c r="C29" s="35" t="s">
        <v>1</v>
      </c>
      <c r="D29" s="41"/>
      <c r="E29" s="49"/>
      <c r="F29" s="88"/>
      <c r="G29" s="89"/>
      <c r="H29" s="89"/>
      <c r="I29" s="90"/>
      <c r="J29" s="58"/>
    </row>
    <row r="30" spans="1:10" ht="3.95" customHeight="1" thickBot="1" x14ac:dyDescent="0.3">
      <c r="A30" s="23"/>
      <c r="B30" s="35"/>
      <c r="C30" s="35"/>
      <c r="D30" s="68"/>
      <c r="E30" s="57"/>
      <c r="F30" s="64"/>
      <c r="G30" s="61"/>
      <c r="H30" s="61"/>
      <c r="I30" s="61"/>
      <c r="J30" s="41"/>
    </row>
    <row r="31" spans="1:10" ht="24.95" customHeight="1" x14ac:dyDescent="0.25">
      <c r="A31" s="23"/>
      <c r="B31" s="35"/>
      <c r="C31" s="51" t="s">
        <v>2</v>
      </c>
      <c r="D31" s="95"/>
      <c r="E31" s="96"/>
      <c r="F31" s="96"/>
      <c r="G31" s="96"/>
      <c r="H31" s="96"/>
      <c r="I31" s="97"/>
      <c r="J31" s="60"/>
    </row>
    <row r="32" spans="1:10" ht="3.95" customHeight="1" thickBot="1" x14ac:dyDescent="0.3">
      <c r="A32" s="23"/>
      <c r="B32" s="35"/>
      <c r="C32" s="35"/>
      <c r="D32" s="59"/>
      <c r="E32" s="69"/>
      <c r="F32" s="69"/>
      <c r="G32" s="62"/>
      <c r="H32" s="63"/>
      <c r="I32" s="64"/>
      <c r="J32" s="59"/>
    </row>
    <row r="33" spans="1:10" ht="24.95" customHeight="1" x14ac:dyDescent="0.25">
      <c r="A33" s="23"/>
      <c r="B33" s="35"/>
      <c r="C33" s="35" t="s">
        <v>3</v>
      </c>
      <c r="D33" s="49"/>
      <c r="E33" s="95"/>
      <c r="F33" s="96"/>
      <c r="G33" s="96"/>
      <c r="H33" s="96"/>
      <c r="I33" s="97"/>
      <c r="J33" s="56"/>
    </row>
    <row r="34" spans="1:10" ht="3.95" customHeight="1" thickBot="1" x14ac:dyDescent="0.3">
      <c r="A34" s="23"/>
      <c r="B34" s="35"/>
      <c r="C34" s="35"/>
      <c r="D34" s="41"/>
      <c r="E34" s="69"/>
      <c r="F34" s="69"/>
      <c r="G34" s="62"/>
      <c r="H34" s="63"/>
      <c r="I34" s="64"/>
      <c r="J34" s="41"/>
    </row>
    <row r="35" spans="1:10" ht="24.95" customHeight="1" x14ac:dyDescent="0.25">
      <c r="A35" s="23"/>
      <c r="B35" s="35"/>
      <c r="C35" s="35" t="s">
        <v>4</v>
      </c>
      <c r="D35" s="49"/>
      <c r="E35" s="95"/>
      <c r="F35" s="96"/>
      <c r="G35" s="96"/>
      <c r="H35" s="96"/>
      <c r="I35" s="97"/>
      <c r="J35" s="56"/>
    </row>
    <row r="36" spans="1:10" ht="9.9499999999999993" customHeight="1" x14ac:dyDescent="0.25">
      <c r="A36" s="25"/>
      <c r="B36" s="36"/>
      <c r="C36" s="36"/>
      <c r="D36" s="36"/>
      <c r="E36" s="55"/>
      <c r="F36" s="55"/>
      <c r="G36" s="65"/>
      <c r="H36" s="66"/>
      <c r="I36" s="67"/>
    </row>
    <row r="37" spans="1:10" s="28" customFormat="1" ht="4.5" customHeight="1" x14ac:dyDescent="0.25">
      <c r="A37" s="26"/>
      <c r="B37" s="37"/>
      <c r="C37" s="37"/>
      <c r="D37" s="37"/>
      <c r="E37" s="37"/>
      <c r="F37" s="37"/>
      <c r="G37" s="26"/>
      <c r="H37" s="37"/>
      <c r="I37" s="37"/>
      <c r="J37" s="26"/>
    </row>
    <row r="38" spans="1:10" ht="14.25" customHeight="1" x14ac:dyDescent="0.25">
      <c r="A38" s="26"/>
      <c r="B38" s="37" t="s">
        <v>8</v>
      </c>
      <c r="C38" s="37"/>
      <c r="D38" s="37"/>
      <c r="E38" s="37"/>
      <c r="F38" s="37"/>
      <c r="G38" s="37"/>
      <c r="H38" s="37"/>
      <c r="I38" s="37"/>
      <c r="J38" s="26"/>
    </row>
    <row r="39" spans="1:10" ht="17.25" customHeight="1" x14ac:dyDescent="0.25">
      <c r="A39" s="26"/>
      <c r="B39" s="37"/>
      <c r="C39" s="98" t="str">
        <f>Лист1!B53</f>
        <v>Шлюз "Автон" (RS485+BLE, 10м, LoRa)</v>
      </c>
      <c r="D39" s="99"/>
      <c r="E39" s="99"/>
      <c r="F39" s="99"/>
      <c r="G39" s="99"/>
      <c r="H39" s="99"/>
      <c r="I39" s="100"/>
      <c r="J39" s="26"/>
    </row>
    <row r="40" spans="1:10" x14ac:dyDescent="0.25">
      <c r="A40" s="26"/>
      <c r="B40" s="37" t="s">
        <v>66</v>
      </c>
      <c r="C40" s="38"/>
      <c r="D40" s="38"/>
      <c r="E40" s="38"/>
      <c r="F40" s="38"/>
      <c r="G40" s="38"/>
      <c r="H40" s="38"/>
      <c r="I40" s="38"/>
      <c r="J40" s="26"/>
    </row>
    <row r="41" spans="1:10" ht="17.25" customHeight="1" x14ac:dyDescent="0.25">
      <c r="A41" s="26"/>
      <c r="B41" s="37"/>
      <c r="C41" s="82" t="str">
        <f ca="1">Лист1!B55</f>
        <v>Крепление на магнит</v>
      </c>
      <c r="D41" s="83"/>
      <c r="E41" s="83"/>
      <c r="F41" s="83"/>
      <c r="G41" s="83"/>
      <c r="H41" s="83"/>
      <c r="I41" s="84"/>
      <c r="J41" s="26"/>
    </row>
    <row r="42" spans="1:10" x14ac:dyDescent="0.25">
      <c r="A42" s="26"/>
      <c r="B42" s="37" t="s">
        <v>6</v>
      </c>
      <c r="C42" s="38"/>
      <c r="D42" s="38"/>
      <c r="E42" s="38"/>
      <c r="F42" s="38"/>
      <c r="G42" s="38"/>
      <c r="H42" s="38"/>
      <c r="I42" s="38"/>
      <c r="J42" s="26"/>
    </row>
    <row r="43" spans="1:10" ht="86.25" customHeight="1" x14ac:dyDescent="0.25">
      <c r="A43" s="26"/>
      <c r="B43" s="37"/>
      <c r="C43" s="82" t="str">
        <f>IF(F24="","",F24)</f>
        <v/>
      </c>
      <c r="D43" s="83"/>
      <c r="E43" s="83"/>
      <c r="F43" s="83"/>
      <c r="G43" s="83"/>
      <c r="H43" s="83"/>
      <c r="I43" s="84"/>
      <c r="J43" s="26"/>
    </row>
    <row r="44" spans="1:10" ht="9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</row>
  </sheetData>
  <sheetProtection password="C7C8" sheet="1" objects="1" scenarios="1"/>
  <mergeCells count="14">
    <mergeCell ref="C43:I43"/>
    <mergeCell ref="F24:I24"/>
    <mergeCell ref="F29:I29"/>
    <mergeCell ref="D26:F26"/>
    <mergeCell ref="A1:H1"/>
    <mergeCell ref="D31:I31"/>
    <mergeCell ref="E33:I33"/>
    <mergeCell ref="E35:I35"/>
    <mergeCell ref="C39:I39"/>
    <mergeCell ref="B12:E12"/>
    <mergeCell ref="B14:E14"/>
    <mergeCell ref="B15:E15"/>
    <mergeCell ref="B24:E24"/>
    <mergeCell ref="C41:I41"/>
  </mergeCells>
  <pageMargins left="0.75" right="0.36" top="0.41" bottom="0.27559055118110237" header="0.24" footer="0.23622047244094491"/>
  <pageSetup paperSize="9" scale="92" orientation="portrait" r:id="rId1"/>
  <rowBreaks count="1" manualBreakCount="1">
    <brk id="25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" r:id="rId4" name="Drop Down 103">
              <controlPr defaultSize="0" autoLine="0" autoPict="0">
                <anchor moveWithCells="1">
                  <from>
                    <xdr:col>5</xdr:col>
                    <xdr:colOff>85725</xdr:colOff>
                    <xdr:row>11</xdr:row>
                    <xdr:rowOff>114300</xdr:rowOff>
                  </from>
                  <to>
                    <xdr:col>6</xdr:col>
                    <xdr:colOff>1724025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" name="Drop Down 114">
              <controlPr defaultSize="0" autoLine="0" autoPict="0">
                <anchor moveWithCells="1">
                  <from>
                    <xdr:col>5</xdr:col>
                    <xdr:colOff>85725</xdr:colOff>
                    <xdr:row>9</xdr:row>
                    <xdr:rowOff>28575</xdr:rowOff>
                  </from>
                  <to>
                    <xdr:col>6</xdr:col>
                    <xdr:colOff>1724025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6" name="Option Button 116">
              <controlPr defaultSize="0" autoFill="0" autoLine="0" autoPict="0">
                <anchor moveWithCells="1">
                  <from>
                    <xdr:col>5</xdr:col>
                    <xdr:colOff>57150</xdr:colOff>
                    <xdr:row>3</xdr:row>
                    <xdr:rowOff>19050</xdr:rowOff>
                  </from>
                  <to>
                    <xdr:col>8</xdr:col>
                    <xdr:colOff>1590675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7" name="Option Button 117">
              <controlPr defaultSize="0" autoFill="0" autoLine="0" autoPict="0">
                <anchor moveWithCells="1">
                  <from>
                    <xdr:col>5</xdr:col>
                    <xdr:colOff>57150</xdr:colOff>
                    <xdr:row>4</xdr:row>
                    <xdr:rowOff>19050</xdr:rowOff>
                  </from>
                  <to>
                    <xdr:col>8</xdr:col>
                    <xdr:colOff>1590675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8" name="Option Button 118">
              <controlPr defaultSize="0" autoFill="0" autoLine="0" autoPict="0">
                <anchor moveWithCells="1">
                  <from>
                    <xdr:col>5</xdr:col>
                    <xdr:colOff>57150</xdr:colOff>
                    <xdr:row>5</xdr:row>
                    <xdr:rowOff>19050</xdr:rowOff>
                  </from>
                  <to>
                    <xdr:col>8</xdr:col>
                    <xdr:colOff>1590675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9" name="Option Button 119">
              <controlPr defaultSize="0" autoFill="0" autoLine="0" autoPict="0">
                <anchor moveWithCells="1">
                  <from>
                    <xdr:col>5</xdr:col>
                    <xdr:colOff>57150</xdr:colOff>
                    <xdr:row>6</xdr:row>
                    <xdr:rowOff>0</xdr:rowOff>
                  </from>
                  <to>
                    <xdr:col>8</xdr:col>
                    <xdr:colOff>1590675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0" name="Option Button 120">
              <controlPr defaultSize="0" autoFill="0" autoLine="0" autoPict="0">
                <anchor moveWithCells="1">
                  <from>
                    <xdr:col>5</xdr:col>
                    <xdr:colOff>57150</xdr:colOff>
                    <xdr:row>7</xdr:row>
                    <xdr:rowOff>0</xdr:rowOff>
                  </from>
                  <to>
                    <xdr:col>8</xdr:col>
                    <xdr:colOff>1590675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" name="Drop Down 121">
              <controlPr defaultSize="0" autoLine="0" autoPict="0">
                <anchor moveWithCells="1">
                  <from>
                    <xdr:col>5</xdr:col>
                    <xdr:colOff>85725</xdr:colOff>
                    <xdr:row>13</xdr:row>
                    <xdr:rowOff>28575</xdr:rowOff>
                  </from>
                  <to>
                    <xdr:col>6</xdr:col>
                    <xdr:colOff>1724025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" name="Drop Down 122">
              <controlPr defaultSize="0" autoLine="0" autoPict="0">
                <anchor moveWithCells="1">
                  <from>
                    <xdr:col>5</xdr:col>
                    <xdr:colOff>85725</xdr:colOff>
                    <xdr:row>15</xdr:row>
                    <xdr:rowOff>38100</xdr:rowOff>
                  </from>
                  <to>
                    <xdr:col>6</xdr:col>
                    <xdr:colOff>1724025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3" name="Drop Down 123">
              <controlPr defaultSize="0" autoLine="0" autoPict="0">
                <anchor moveWithCells="1">
                  <from>
                    <xdr:col>5</xdr:col>
                    <xdr:colOff>85725</xdr:colOff>
                    <xdr:row>17</xdr:row>
                    <xdr:rowOff>38100</xdr:rowOff>
                  </from>
                  <to>
                    <xdr:col>6</xdr:col>
                    <xdr:colOff>1724025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4" name="Drop Down 124">
              <controlPr defaultSize="0" autoLine="0" autoPict="0">
                <anchor moveWithCells="1">
                  <from>
                    <xdr:col>5</xdr:col>
                    <xdr:colOff>85725</xdr:colOff>
                    <xdr:row>19</xdr:row>
                    <xdr:rowOff>38100</xdr:rowOff>
                  </from>
                  <to>
                    <xdr:col>6</xdr:col>
                    <xdr:colOff>1724025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5" name="Drop Down 125">
              <controlPr defaultSize="0" autoLine="0" autoPict="0">
                <anchor moveWithCells="1">
                  <from>
                    <xdr:col>5</xdr:col>
                    <xdr:colOff>85725</xdr:colOff>
                    <xdr:row>2</xdr:row>
                    <xdr:rowOff>28575</xdr:rowOff>
                  </from>
                  <to>
                    <xdr:col>6</xdr:col>
                    <xdr:colOff>1724025</xdr:colOff>
                    <xdr:row>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6" name="Drop Down 126">
              <controlPr defaultSize="0" autoLine="0" autoPict="0">
                <anchor moveWithCells="1">
                  <from>
                    <xdr:col>5</xdr:col>
                    <xdr:colOff>85725</xdr:colOff>
                    <xdr:row>21</xdr:row>
                    <xdr:rowOff>38100</xdr:rowOff>
                  </from>
                  <to>
                    <xdr:col>6</xdr:col>
                    <xdr:colOff>1724025</xdr:colOff>
                    <xdr:row>21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  <pageSetUpPr fitToPage="1"/>
  </sheetPr>
  <dimension ref="A1:O78"/>
  <sheetViews>
    <sheetView zoomScaleNormal="100" workbookViewId="0">
      <selection activeCell="D64" sqref="D64"/>
    </sheetView>
  </sheetViews>
  <sheetFormatPr defaultRowHeight="15.75" x14ac:dyDescent="0.25"/>
  <cols>
    <col min="1" max="1" width="6.7109375" customWidth="1"/>
    <col min="2" max="2" width="35.5703125" style="7" customWidth="1"/>
    <col min="3" max="3" width="22.7109375" customWidth="1"/>
    <col min="4" max="4" width="24.5703125" style="9" customWidth="1"/>
    <col min="5" max="5" width="44.28515625" style="9" customWidth="1"/>
    <col min="6" max="6" width="19" style="9" customWidth="1"/>
    <col min="7" max="7" width="30.42578125" style="9" customWidth="1"/>
    <col min="8" max="8" width="3.85546875" style="9" customWidth="1"/>
    <col min="9" max="10" width="19" customWidth="1"/>
    <col min="11" max="11" width="22" customWidth="1"/>
    <col min="12" max="14" width="19" customWidth="1"/>
    <col min="15" max="15" width="2.42578125" style="5" customWidth="1"/>
    <col min="16" max="17" width="12.140625" customWidth="1"/>
    <col min="18" max="18" width="19.28515625" customWidth="1"/>
  </cols>
  <sheetData>
    <row r="1" spans="1:15" ht="24" customHeight="1" x14ac:dyDescent="0.2">
      <c r="A1" s="107" t="s">
        <v>9</v>
      </c>
      <c r="B1" s="107"/>
      <c r="C1" s="3" t="s">
        <v>10</v>
      </c>
      <c r="D1" s="3" t="s">
        <v>13</v>
      </c>
    </row>
    <row r="2" spans="1:15" ht="18.75" customHeight="1" x14ac:dyDescent="0.25">
      <c r="B2" s="22" t="s">
        <v>53</v>
      </c>
      <c r="C2" s="7"/>
      <c r="D2" s="15" t="s">
        <v>14</v>
      </c>
      <c r="E2" s="15" t="s">
        <v>17</v>
      </c>
    </row>
    <row r="3" spans="1:15" ht="18.75" customHeight="1" x14ac:dyDescent="0.25">
      <c r="A3" s="5">
        <v>1</v>
      </c>
      <c r="B3" s="74" t="str">
        <f>INDEX(D3:D4,A3,1)</f>
        <v>шлюз</v>
      </c>
      <c r="C3" s="6" t="str">
        <f>VLOOKUP(B3,Таблица53479[#All],2,)</f>
        <v>Шлюз</v>
      </c>
      <c r="D3" s="10" t="s">
        <v>54</v>
      </c>
      <c r="E3" s="10" t="s">
        <v>56</v>
      </c>
    </row>
    <row r="4" spans="1:15" ht="18.75" customHeight="1" x14ac:dyDescent="0.25">
      <c r="C4" s="1"/>
      <c r="D4" s="9" t="s">
        <v>55</v>
      </c>
      <c r="E4" s="9" t="s">
        <v>57</v>
      </c>
    </row>
    <row r="5" spans="1:15" ht="18.75" customHeight="1" x14ac:dyDescent="0.2">
      <c r="A5" s="72"/>
      <c r="B5" s="72"/>
      <c r="C5" s="3"/>
      <c r="D5" s="3"/>
    </row>
    <row r="6" spans="1:15" ht="18.75" customHeight="1" x14ac:dyDescent="0.25">
      <c r="A6" s="3"/>
      <c r="B6" s="22" t="s">
        <v>22</v>
      </c>
      <c r="C6" s="18"/>
      <c r="D6" s="17"/>
      <c r="E6" s="10"/>
    </row>
    <row r="7" spans="1:15" ht="18.75" customHeight="1" x14ac:dyDescent="0.2">
      <c r="A7" s="16">
        <v>4</v>
      </c>
      <c r="B7" s="31" t="str">
        <f>INDEX(Таблица4[Столбец1],A7,1)</f>
        <v>RS485 и Bluetooth Low Energy</v>
      </c>
      <c r="C7" s="16" t="str">
        <f>VLOOKUP(B7,Таблица4[#All],2,)</f>
        <v>RS485+BLE</v>
      </c>
      <c r="D7" s="17" t="s">
        <v>14</v>
      </c>
      <c r="E7" s="10" t="s">
        <v>15</v>
      </c>
      <c r="I7" s="9"/>
      <c r="J7" s="9"/>
      <c r="K7" s="9"/>
    </row>
    <row r="8" spans="1:15" ht="18.75" customHeight="1" x14ac:dyDescent="0.2">
      <c r="A8" s="3"/>
      <c r="B8" s="4"/>
      <c r="C8" s="18"/>
      <c r="D8" s="9" t="s">
        <v>32</v>
      </c>
      <c r="E8" s="9" t="s">
        <v>27</v>
      </c>
      <c r="I8" s="9"/>
      <c r="J8" s="9"/>
      <c r="K8" s="9"/>
    </row>
    <row r="9" spans="1:15" ht="18.75" customHeight="1" x14ac:dyDescent="0.2">
      <c r="A9" s="3"/>
      <c r="B9" s="4"/>
      <c r="C9" s="18"/>
      <c r="D9" s="9" t="s">
        <v>33</v>
      </c>
      <c r="E9" s="9" t="s">
        <v>30</v>
      </c>
      <c r="I9" s="9"/>
      <c r="J9" s="9"/>
      <c r="K9" s="9"/>
    </row>
    <row r="10" spans="1:15" ht="18.75" customHeight="1" x14ac:dyDescent="0.2">
      <c r="A10" s="3"/>
      <c r="B10" s="4"/>
      <c r="C10" s="18"/>
      <c r="D10" s="9" t="s">
        <v>34</v>
      </c>
      <c r="E10" s="9" t="s">
        <v>28</v>
      </c>
      <c r="I10" s="9"/>
      <c r="J10" s="9"/>
      <c r="K10" s="9"/>
    </row>
    <row r="11" spans="1:15" ht="18.75" customHeight="1" x14ac:dyDescent="0.2">
      <c r="A11" s="3"/>
      <c r="B11" s="4"/>
      <c r="C11" s="18"/>
      <c r="D11" s="9" t="s">
        <v>35</v>
      </c>
      <c r="E11" s="9" t="s">
        <v>29</v>
      </c>
      <c r="I11" s="9"/>
      <c r="J11" s="9"/>
      <c r="K11" s="9"/>
    </row>
    <row r="12" spans="1:15" ht="18.75" customHeight="1" x14ac:dyDescent="0.2">
      <c r="A12" s="3"/>
      <c r="B12" s="4"/>
      <c r="C12" s="18"/>
      <c r="D12" s="9" t="s">
        <v>36</v>
      </c>
      <c r="E12" s="9" t="s">
        <v>31</v>
      </c>
      <c r="I12" s="9"/>
      <c r="J12" s="9"/>
      <c r="K12" s="9"/>
    </row>
    <row r="13" spans="1:15" ht="18.75" customHeight="1" x14ac:dyDescent="0.2">
      <c r="A13" s="3"/>
      <c r="B13" s="4"/>
      <c r="C13" s="18"/>
      <c r="D13" s="17"/>
      <c r="E13" s="10"/>
    </row>
    <row r="14" spans="1:15" ht="18.75" customHeight="1" x14ac:dyDescent="0.25">
      <c r="B14" s="22" t="s">
        <v>18</v>
      </c>
      <c r="C14" s="7"/>
      <c r="D14" s="15" t="s">
        <v>14</v>
      </c>
      <c r="E14" s="15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3"/>
    </row>
    <row r="15" spans="1:15" ht="18.75" customHeight="1" x14ac:dyDescent="0.25">
      <c r="A15" s="5">
        <v>3</v>
      </c>
      <c r="B15" s="30">
        <f>INDEX(D15:D18,A15,1)</f>
        <v>10</v>
      </c>
      <c r="C15" s="6" t="str">
        <f>VLOOKUP(B15,Таблица5[#All],2,)</f>
        <v>, 10м</v>
      </c>
      <c r="D15" s="9">
        <f>IF(AND(A3=1,A7&gt;1),1,"")</f>
        <v>1</v>
      </c>
      <c r="E15" s="9" t="str">
        <f>IF(AND(A3=1,A7&gt;1),", 1м","")</f>
        <v>, 1м</v>
      </c>
      <c r="F15"/>
      <c r="G15"/>
      <c r="H15"/>
    </row>
    <row r="16" spans="1:15" ht="18.75" customHeight="1" x14ac:dyDescent="0.25">
      <c r="C16" s="1"/>
      <c r="D16" s="9">
        <f>IF(AND(A3=1,A7&gt;1),5,"")</f>
        <v>5</v>
      </c>
      <c r="E16" s="9" t="str">
        <f>IF(AND(A3=1,A7&gt;1),", 5м","")</f>
        <v>, 5м</v>
      </c>
      <c r="F16"/>
      <c r="G16"/>
      <c r="H16"/>
    </row>
    <row r="17" spans="1:11" ht="18.75" customHeight="1" x14ac:dyDescent="0.25">
      <c r="C17" s="1"/>
      <c r="D17" s="9">
        <f>IF(AND(A3=1,A7&gt;1),10,"")</f>
        <v>10</v>
      </c>
      <c r="E17" s="9" t="str">
        <f>IF(AND(A3=1,A7&gt;1),", 10м","")</f>
        <v>, 10м</v>
      </c>
      <c r="F17"/>
      <c r="G17"/>
      <c r="H17"/>
    </row>
    <row r="18" spans="1:11" ht="18.75" customHeight="1" x14ac:dyDescent="0.25">
      <c r="C18" s="1"/>
      <c r="D18" s="9" t="str">
        <f>IF(AND(A3=1,A7&gt;1),"другая","")</f>
        <v>другая</v>
      </c>
      <c r="E18" s="9" t="str">
        <f>IF(AND(A3=1,A7&gt;1),", "&amp;'Опросный лист шлюз'!I10&amp;"м","")</f>
        <v>, м</v>
      </c>
      <c r="F18"/>
      <c r="G18"/>
      <c r="H18"/>
    </row>
    <row r="19" spans="1:11" ht="18.75" customHeight="1" x14ac:dyDescent="0.25">
      <c r="C19" s="1"/>
      <c r="F19" s="17"/>
      <c r="G19" s="17"/>
      <c r="H19" s="19"/>
      <c r="I19" s="20"/>
      <c r="J19" s="20"/>
      <c r="K19" s="21"/>
    </row>
    <row r="20" spans="1:11" ht="18.75" customHeight="1" x14ac:dyDescent="0.25">
      <c r="B20" s="22" t="s">
        <v>16</v>
      </c>
      <c r="C20" s="1"/>
      <c r="F20" s="17"/>
      <c r="G20" s="17"/>
      <c r="H20" s="19"/>
      <c r="I20" s="20"/>
      <c r="J20" s="20"/>
      <c r="K20" s="21"/>
    </row>
    <row r="21" spans="1:11" ht="18.75" customHeight="1" x14ac:dyDescent="0.25">
      <c r="A21" s="5">
        <v>1</v>
      </c>
      <c r="B21" s="29" t="str">
        <f>INDEX(D22:D23,A21,1)</f>
        <v>LoRaWAN</v>
      </c>
      <c r="C21" s="14" t="str">
        <f>VLOOKUP(B21,D21:E23,2,)</f>
        <v>, LoRa</v>
      </c>
      <c r="D21" s="9" t="s">
        <v>14</v>
      </c>
      <c r="E21" s="9" t="s">
        <v>15</v>
      </c>
      <c r="F21" s="17"/>
      <c r="G21" s="17"/>
      <c r="H21" s="19"/>
      <c r="I21" s="20"/>
      <c r="J21" s="20"/>
      <c r="K21" s="21"/>
    </row>
    <row r="22" spans="1:11" ht="18.75" customHeight="1" x14ac:dyDescent="0.25">
      <c r="C22" s="1"/>
      <c r="D22" s="9" t="s">
        <v>23</v>
      </c>
      <c r="E22" s="9" t="s">
        <v>38</v>
      </c>
      <c r="F22" s="17"/>
      <c r="G22" s="17"/>
      <c r="H22" s="19"/>
      <c r="I22" s="20"/>
      <c r="J22" s="20"/>
      <c r="K22" s="21"/>
    </row>
    <row r="23" spans="1:11" ht="18.75" customHeight="1" x14ac:dyDescent="0.25">
      <c r="C23" s="1"/>
      <c r="D23" s="9" t="s">
        <v>24</v>
      </c>
      <c r="E23" s="9" t="s">
        <v>39</v>
      </c>
      <c r="F23" s="17"/>
      <c r="G23" s="17"/>
      <c r="H23" s="19"/>
      <c r="I23" s="20"/>
      <c r="J23" s="20"/>
      <c r="K23" s="21"/>
    </row>
    <row r="24" spans="1:11" ht="18.75" customHeight="1" x14ac:dyDescent="0.25">
      <c r="B24" s="12"/>
      <c r="C24" s="1"/>
    </row>
    <row r="25" spans="1:11" ht="18.75" customHeight="1" x14ac:dyDescent="0.25">
      <c r="B25" s="22" t="s">
        <v>40</v>
      </c>
      <c r="C25" s="1"/>
    </row>
    <row r="26" spans="1:11" ht="18.75" customHeight="1" x14ac:dyDescent="0.25">
      <c r="A26" s="5">
        <v>1</v>
      </c>
      <c r="B26" s="29" t="str">
        <f>INDEX(D27:D29,A26,1)</f>
        <v>встроенная</v>
      </c>
      <c r="C26" s="14" t="str">
        <f>VLOOKUP(B26,D26:E29,2,)</f>
        <v/>
      </c>
      <c r="D26" s="9" t="s">
        <v>14</v>
      </c>
      <c r="E26" s="9" t="s">
        <v>15</v>
      </c>
    </row>
    <row r="27" spans="1:11" ht="18.75" customHeight="1" x14ac:dyDescent="0.25">
      <c r="C27" s="1"/>
      <c r="D27" s="9" t="s">
        <v>41</v>
      </c>
      <c r="E27" s="10" t="s">
        <v>11</v>
      </c>
    </row>
    <row r="28" spans="1:11" ht="18.75" customHeight="1" x14ac:dyDescent="0.25">
      <c r="C28" s="1"/>
      <c r="D28" s="9" t="s">
        <v>42</v>
      </c>
      <c r="E28" s="9" t="s">
        <v>44</v>
      </c>
    </row>
    <row r="29" spans="1:11" ht="18.75" customHeight="1" x14ac:dyDescent="0.25">
      <c r="C29" s="1"/>
      <c r="D29" s="9" t="s">
        <v>43</v>
      </c>
      <c r="E29" s="9" t="s">
        <v>45</v>
      </c>
    </row>
    <row r="30" spans="1:11" ht="18.75" customHeight="1" x14ac:dyDescent="0.25">
      <c r="B30" s="12"/>
      <c r="C30" s="1"/>
    </row>
    <row r="31" spans="1:11" ht="18.75" customHeight="1" x14ac:dyDescent="0.25">
      <c r="B31" s="22" t="s">
        <v>47</v>
      </c>
      <c r="C31" s="7"/>
      <c r="D31" s="15" t="s">
        <v>14</v>
      </c>
      <c r="E31" s="15" t="s">
        <v>17</v>
      </c>
    </row>
    <row r="32" spans="1:11" ht="18.75" customHeight="1" x14ac:dyDescent="0.25">
      <c r="A32" s="5">
        <v>1</v>
      </c>
      <c r="B32" s="30" t="str">
        <f>INDEX(D32:D35,A32,1)</f>
        <v/>
      </c>
      <c r="C32" s="6" t="str">
        <f>VLOOKUP(B32,Таблица53[#All],2,)</f>
        <v/>
      </c>
      <c r="D32" s="9" t="str">
        <f>IF(B26&lt;&gt;"встроенная",1,"")</f>
        <v/>
      </c>
      <c r="E32" s="9" t="str">
        <f>IF(B26&lt;&gt;"встроенная",IF(A3=1,"-1м",", 1м"),"")</f>
        <v/>
      </c>
    </row>
    <row r="33" spans="1:10" ht="18.75" customHeight="1" x14ac:dyDescent="0.25">
      <c r="C33" s="1"/>
      <c r="D33" s="9" t="str">
        <f>IF(B26&lt;&gt;"встроенная",5,"")</f>
        <v/>
      </c>
      <c r="E33" s="9" t="str">
        <f>IF(B26&lt;&gt;"встроенная",IF(A3=1,"-5м",", 5м"),"")</f>
        <v/>
      </c>
    </row>
    <row r="34" spans="1:10" ht="18.75" customHeight="1" x14ac:dyDescent="0.25">
      <c r="C34" s="1"/>
      <c r="D34" s="9" t="str">
        <f>IF(B26&lt;&gt;"встроенная",10,"")</f>
        <v/>
      </c>
      <c r="E34" s="9" t="str">
        <f>IF(B26&lt;&gt;"встроенная",IF(A3=1,"-10м",", 10м"),"")</f>
        <v/>
      </c>
    </row>
    <row r="35" spans="1:10" ht="18.75" customHeight="1" x14ac:dyDescent="0.25">
      <c r="C35" s="1"/>
      <c r="D35" s="9" t="str">
        <f>IF(B26&lt;&gt;"встроенная","другая","")</f>
        <v/>
      </c>
      <c r="E35" s="9" t="str">
        <f>IF(B26&lt;&gt;"встроенная",IF(A3=1,"-"&amp;'Опросный лист шлюз'!I16&amp;"м",", "&amp;'Опросный лист шлюз'!I16&amp;"м"),"")</f>
        <v/>
      </c>
    </row>
    <row r="36" spans="1:10" ht="18.75" customHeight="1" x14ac:dyDescent="0.25">
      <c r="B36" s="12"/>
      <c r="C36" s="1"/>
    </row>
    <row r="37" spans="1:10" ht="18.75" customHeight="1" x14ac:dyDescent="0.25">
      <c r="B37" s="22" t="s">
        <v>48</v>
      </c>
      <c r="C37" s="7"/>
      <c r="D37" s="15" t="s">
        <v>14</v>
      </c>
      <c r="E37" s="15" t="s">
        <v>17</v>
      </c>
    </row>
    <row r="38" spans="1:10" ht="18.75" customHeight="1" x14ac:dyDescent="0.25">
      <c r="A38" s="5">
        <v>1</v>
      </c>
      <c r="B38" s="74" t="str">
        <f>INDEX(D38:D40,A38,1)</f>
        <v>питание от батрейки</v>
      </c>
      <c r="C38" s="6" t="str">
        <f>VLOOKUP(B38,Таблица534[#All],2,)</f>
        <v/>
      </c>
      <c r="D38" s="10" t="str">
        <f>IF(A3=1,IF(AND(A7&lt;&gt;3,A7&lt;&gt;5),"питание от батрейки","внешнее питание постоянным током"),"")</f>
        <v>питание от батрейки</v>
      </c>
      <c r="E38" s="10" t="str">
        <f>IF(A3=1,IF(AND(A7&lt;&gt;3,A7&lt;&gt;5),"",", DC"),"")</f>
        <v/>
      </c>
    </row>
    <row r="39" spans="1:10" ht="18.75" customHeight="1" x14ac:dyDescent="0.25">
      <c r="C39" s="1"/>
      <c r="D39" s="9" t="str">
        <f>IF(A3=1,IF(AND(A7&lt;&gt;3,A7&lt;&gt;5),"внешнее питание постоянным током",""),"")</f>
        <v>внешнее питание постоянным током</v>
      </c>
      <c r="E39" s="9" t="str">
        <f>IF(A3=1,IF(AND(A7&lt;&gt;3,A7&lt;&gt;5),", DC",""),"")</f>
        <v>, DC</v>
      </c>
    </row>
    <row r="40" spans="1:10" ht="18.75" customHeight="1" x14ac:dyDescent="0.25">
      <c r="C40" s="1"/>
      <c r="D40" s="9" t="str">
        <f>IF(A3=1,IF(AND(A7&lt;&gt;3,A7&lt;&gt;5),"питание от аккумулятора",""),"")</f>
        <v>питание от аккумулятора</v>
      </c>
      <c r="E40" s="9" t="str">
        <f>IF(A3=1,IF(AND(A7&lt;&gt;3,A7&lt;&gt;5),", ACC",""),"")</f>
        <v>, ACC</v>
      </c>
    </row>
    <row r="41" spans="1:10" ht="18.75" customHeight="1" x14ac:dyDescent="0.25">
      <c r="B41" s="12"/>
      <c r="C41" s="1"/>
    </row>
    <row r="42" spans="1:10" ht="18.75" customHeight="1" x14ac:dyDescent="0.25">
      <c r="B42" s="22" t="s">
        <v>48</v>
      </c>
      <c r="C42" s="7"/>
      <c r="D42" s="15" t="s">
        <v>14</v>
      </c>
      <c r="E42" s="15" t="s">
        <v>17</v>
      </c>
    </row>
    <row r="43" spans="1:10" ht="18.75" customHeight="1" x14ac:dyDescent="0.25">
      <c r="A43" s="5">
        <v>1</v>
      </c>
      <c r="B43" s="74" t="str">
        <f>INDEX(D43:D44,A43,1)</f>
        <v>универсальная</v>
      </c>
      <c r="C43" s="6" t="str">
        <f>VLOOKUP(B43,Таблица5347[#All],2,)</f>
        <v/>
      </c>
      <c r="D43" s="10" t="s">
        <v>49</v>
      </c>
      <c r="E43" s="10" t="s">
        <v>11</v>
      </c>
    </row>
    <row r="44" spans="1:10" ht="18.75" customHeight="1" x14ac:dyDescent="0.25">
      <c r="C44" s="1"/>
      <c r="D44" s="9" t="s">
        <v>50</v>
      </c>
      <c r="E44" s="9" t="s">
        <v>51</v>
      </c>
    </row>
    <row r="45" spans="1:10" ht="18.75" customHeight="1" x14ac:dyDescent="0.25">
      <c r="B45" s="12"/>
      <c r="C45" s="1"/>
    </row>
    <row r="46" spans="1:10" ht="18.75" customHeight="1" x14ac:dyDescent="0.25">
      <c r="B46" s="22" t="s">
        <v>58</v>
      </c>
      <c r="C46" s="7"/>
      <c r="D46" s="15" t="s">
        <v>14</v>
      </c>
      <c r="E46" s="15" t="s">
        <v>17</v>
      </c>
      <c r="F46" s="80" t="s">
        <v>56</v>
      </c>
      <c r="G46" s="80" t="s">
        <v>57</v>
      </c>
      <c r="I46" s="80" t="s">
        <v>56</v>
      </c>
      <c r="J46" s="80" t="s">
        <v>57</v>
      </c>
    </row>
    <row r="47" spans="1:10" ht="18.75" customHeight="1" x14ac:dyDescent="0.25">
      <c r="A47" s="5">
        <v>1</v>
      </c>
      <c r="B47" s="74" t="str">
        <f ca="1">INDEX(D47:D50,A47,1)</f>
        <v>на магнит</v>
      </c>
      <c r="C47" s="6" t="str">
        <f ca="1">VLOOKUP(B47,Таблица53410[#All],2,)</f>
        <v>Крепление на магнит</v>
      </c>
      <c r="D47" s="10" t="str">
        <f t="shared" ref="D47:D50" ca="1" si="0">OFFSET(F47,,$A$3-1)</f>
        <v>на магнит</v>
      </c>
      <c r="E47" s="10" t="str">
        <f t="shared" ref="E47:E50" ca="1" si="1">OFFSET(I47,,$A$3-1)</f>
        <v>Крепление на магнит</v>
      </c>
      <c r="F47" s="79" t="s">
        <v>59</v>
      </c>
      <c r="G47" s="79" t="s">
        <v>67</v>
      </c>
      <c r="I47" s="79" t="s">
        <v>63</v>
      </c>
      <c r="J47" s="79" t="s">
        <v>70</v>
      </c>
    </row>
    <row r="48" spans="1:10" ht="18.75" customHeight="1" x14ac:dyDescent="0.25">
      <c r="C48" s="1"/>
      <c r="D48" s="10" t="str">
        <f t="shared" ca="1" si="0"/>
        <v>на DIN-рейку</v>
      </c>
      <c r="E48" s="10" t="str">
        <f t="shared" ca="1" si="1"/>
        <v>Крепление на DIN-рейку</v>
      </c>
      <c r="F48" s="79" t="s">
        <v>60</v>
      </c>
      <c r="G48" s="79" t="s">
        <v>68</v>
      </c>
      <c r="I48" s="79" t="s">
        <v>64</v>
      </c>
      <c r="J48" s="79" t="s">
        <v>71</v>
      </c>
    </row>
    <row r="49" spans="2:10" ht="18.75" customHeight="1" x14ac:dyDescent="0.25">
      <c r="C49" s="1"/>
      <c r="D49" s="10" t="str">
        <f t="shared" ca="1" si="0"/>
        <v>на кронштейн</v>
      </c>
      <c r="E49" s="10" t="str">
        <f t="shared" ca="1" si="1"/>
        <v>Крепление на кронштейн</v>
      </c>
      <c r="F49" s="79" t="s">
        <v>61</v>
      </c>
      <c r="G49" s="79" t="s">
        <v>69</v>
      </c>
      <c r="I49" s="79" t="s">
        <v>65</v>
      </c>
      <c r="J49" s="79" t="s">
        <v>72</v>
      </c>
    </row>
    <row r="50" spans="2:10" ht="18.75" customHeight="1" x14ac:dyDescent="0.25">
      <c r="B50" s="12"/>
      <c r="C50" s="1"/>
      <c r="D50" s="10" t="str">
        <f t="shared" ca="1" si="0"/>
        <v>другое</v>
      </c>
      <c r="E50" s="10" t="str">
        <f t="shared" ca="1" si="1"/>
        <v xml:space="preserve">Крепление: </v>
      </c>
      <c r="F50" s="79" t="s">
        <v>62</v>
      </c>
      <c r="G50" s="79" t="s">
        <v>62</v>
      </c>
      <c r="I50" s="79" t="str">
        <f>"Крепление: "&amp;'Опросный лист шлюз'!I22</f>
        <v xml:space="preserve">Крепление: </v>
      </c>
      <c r="J50" s="79" t="str">
        <f>"Крепление: "&amp;'Опросный лист шлюз'!I22</f>
        <v xml:space="preserve">Крепление: </v>
      </c>
    </row>
    <row r="51" spans="2:10" ht="18.75" customHeight="1" x14ac:dyDescent="0.25">
      <c r="B51" s="12"/>
      <c r="C51" s="1"/>
    </row>
    <row r="52" spans="2:10" ht="18.75" customHeight="1" x14ac:dyDescent="0.25">
      <c r="B52" s="12"/>
      <c r="C52" s="1"/>
    </row>
    <row r="53" spans="2:10" ht="18.75" customHeight="1" x14ac:dyDescent="0.25">
      <c r="B53" s="5" t="str">
        <f>C3&amp;" ""Автон"" "&amp;"("&amp;C7&amp;C15&amp;C21&amp;C26&amp;C32&amp;C38&amp;C43&amp;")"</f>
        <v>Шлюз "Автон" (RS485+BLE, 10м, LoRa)</v>
      </c>
      <c r="C53" s="6"/>
      <c r="D53" s="77"/>
      <c r="E53" s="77"/>
    </row>
    <row r="54" spans="2:10" ht="10.5" customHeight="1" x14ac:dyDescent="0.25">
      <c r="C54" s="1"/>
    </row>
    <row r="55" spans="2:10" ht="21.75" customHeight="1" x14ac:dyDescent="0.25">
      <c r="B55" s="78" t="str">
        <f ca="1">C47</f>
        <v>Крепление на магнит</v>
      </c>
      <c r="C55" s="1"/>
    </row>
    <row r="56" spans="2:10" ht="10.5" customHeight="1" x14ac:dyDescent="0.25">
      <c r="C56" s="1"/>
    </row>
    <row r="57" spans="2:10" ht="19.5" customHeight="1" x14ac:dyDescent="0.25">
      <c r="B57" s="42" t="s">
        <v>20</v>
      </c>
    </row>
    <row r="58" spans="2:10" ht="17.25" customHeight="1" x14ac:dyDescent="0.2">
      <c r="B58" s="43">
        <v>45595</v>
      </c>
      <c r="C58" s="108" t="s">
        <v>25</v>
      </c>
      <c r="D58" s="108"/>
      <c r="E58" s="108"/>
    </row>
    <row r="59" spans="2:10" x14ac:dyDescent="0.2">
      <c r="B59" s="43">
        <v>45777</v>
      </c>
      <c r="C59" s="108" t="s">
        <v>26</v>
      </c>
      <c r="D59" s="108"/>
      <c r="E59" s="108"/>
    </row>
    <row r="60" spans="2:10" x14ac:dyDescent="0.25">
      <c r="B60" s="81">
        <v>45831</v>
      </c>
      <c r="C60" t="s">
        <v>74</v>
      </c>
    </row>
    <row r="78" spans="1:2" ht="17.25" x14ac:dyDescent="0.3">
      <c r="A78" s="2"/>
      <c r="B78" s="8"/>
    </row>
  </sheetData>
  <mergeCells count="3">
    <mergeCell ref="A1:B1"/>
    <mergeCell ref="C58:E58"/>
    <mergeCell ref="C59:E59"/>
  </mergeCells>
  <pageMargins left="0.6692913385826772" right="0.15748031496062992" top="0.35433070866141736" bottom="0.27559055118110237" header="0.19685039370078741" footer="0.23622047244094491"/>
  <pageSetup paperSize="9" scale="85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4"/>
  <sheetViews>
    <sheetView workbookViewId="0">
      <selection activeCell="B13" sqref="B13"/>
    </sheetView>
  </sheetViews>
  <sheetFormatPr defaultRowHeight="12.75" x14ac:dyDescent="0.2"/>
  <cols>
    <col min="1" max="1" width="4.140625" customWidth="1"/>
    <col min="2" max="2" width="93.7109375" customWidth="1"/>
  </cols>
  <sheetData>
    <row r="1" spans="1:2" ht="18" x14ac:dyDescent="0.2">
      <c r="A1" s="32" t="s">
        <v>19</v>
      </c>
    </row>
    <row r="2" spans="1:2" ht="18" x14ac:dyDescent="0.2">
      <c r="A2" s="32"/>
    </row>
    <row r="3" spans="1:2" ht="16.5" customHeight="1" x14ac:dyDescent="0.2">
      <c r="B3" s="33" t="s">
        <v>73</v>
      </c>
    </row>
    <row r="4" spans="1:2" ht="258" customHeight="1" x14ac:dyDescent="0.2"/>
  </sheetData>
  <pageMargins left="0.70866141732283472" right="0.44" top="0.42" bottom="0.42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Опросный лист шлюз</vt:lpstr>
      <vt:lpstr>Лист1</vt:lpstr>
      <vt:lpstr>Справка</vt:lpstr>
      <vt:lpstr>Лист1!_ftn1</vt:lpstr>
      <vt:lpstr>Лист1!_ftnref1</vt:lpstr>
      <vt:lpstr>Лист1!_Ref200615198</vt:lpstr>
      <vt:lpstr>'Опросный лист шлюз'!Область_печати</vt:lpstr>
      <vt:lpstr>Справка!Область_печати</vt:lpstr>
    </vt:vector>
  </TitlesOfParts>
  <Company>нефтегаз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Кукина Ольга</cp:lastModifiedBy>
  <cp:lastPrinted>2025-06-23T06:43:57Z</cp:lastPrinted>
  <dcterms:created xsi:type="dcterms:W3CDTF">2008-11-24T06:26:29Z</dcterms:created>
  <dcterms:modified xsi:type="dcterms:W3CDTF">2025-06-24T10:52:58Z</dcterms:modified>
</cp:coreProperties>
</file>