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0" yWindow="60" windowWidth="15270" windowHeight="12045"/>
  </bookViews>
  <sheets>
    <sheet name="Опросный лист термометр" sheetId="2" r:id="rId1"/>
    <sheet name="Лист1" sheetId="5" state="hidden" r:id="rId2"/>
    <sheet name="Справка" sheetId="4" r:id="rId3"/>
  </sheets>
  <externalReferences>
    <externalReference r:id="rId4"/>
  </externalReferences>
  <definedNames>
    <definedName name="Test">#REF!</definedName>
    <definedName name="Арматура">'[1]Опросный лист термоманометр'!$L$94:$L$99</definedName>
    <definedName name="Без_пустых">IFERROR(INDEX(#REF!,SMALL(IF(#REF!&lt;&gt;#REF!,ROW(INDIRECT("1:"&amp;ROWS(#REF!))),""),ROW(INDIRECT("1:"&amp;ROWS(#REF!))))),"")</definedName>
    <definedName name="Без_пустых1">IFERROR(VLOOKUP(ROW(#REF!),#REF!,2,0),"")</definedName>
    <definedName name="Варианты_креплений">Справка!$B$12</definedName>
    <definedName name="Габаритные_размеры_ТЩ0">Справка!$B$9</definedName>
    <definedName name="Гильза">OFFSET('[1]Опросный лист термоманометр'!$L$75:$N$78,0,'[1]Опросный лист термоманометр'!$I$24-1,,1)</definedName>
    <definedName name="Давление_ВПИ">'[1]Опросный лист термоманометр'!$L$4:$L$15</definedName>
    <definedName name="Давление_Погрешность">'[1]Опросный лист термоманометр'!$L$17:$L$22</definedName>
    <definedName name="Исполнение">'[1]Опросный лист термоманометр'!$L$87:$L$88</definedName>
    <definedName name="Кабель_Длина">OFFSET('[1]Опросный лист термоманометр'!$L$61:$N$69,0,'[1]Опросный лист термоманометр'!$I$24-1,,1)</definedName>
    <definedName name="Кабель_Защита">OFFSET('[1]Опросный лист термоманометр'!$L$71:$N$73,0,'[1]Опросный лист термоманометр'!$I$24-1,,1)</definedName>
    <definedName name="Кабель_Подключение">OFFSET('[1]Опросный лист термоманометр'!$L$57:$N$59,0,'[1]Опросный лист термоманометр'!$I$24-1,,1)</definedName>
    <definedName name="Конструктивное_исполнение">'Опросный лист термометр'!#REF!</definedName>
    <definedName name="_xlnm.Print_Area" localSheetId="2">Справка!$A$1:$E$12</definedName>
    <definedName name="Поверка">'[1]Опросный лист термоманометр'!$L$101:$L$102</definedName>
    <definedName name="Резьба">'[1]Опросный лист термоманометр'!$L$90:$L$92</definedName>
    <definedName name="Способ_подключения_кабеля_к_термощупу">Справка!#REF!</definedName>
    <definedName name="Способы_крепления_термощупа">Справка!$B$6</definedName>
    <definedName name="Температура_Диапазон" localSheetId="2">OFFSET('[1]Опросный лист термоманометр'!$L$30:$N$34,0,'[1]Опросный лист термоманометр'!$I$24-1,,1)</definedName>
    <definedName name="Температура_Диапазон">'Опросный лист термометр'!#REF!</definedName>
    <definedName name="Температура_Место">'[1]Опросный лист термоманометр'!$L$25:$L$27</definedName>
    <definedName name="Температура_Погрешность">OFFSET('[1]Опросный лист термоманометр'!$L$36:$N$38,0,'[1]Опросный лист термоманометр'!$I$24-1,,1)</definedName>
    <definedName name="Термометры_с_одним__двумя_и_четырьмя_термопреобразователями">Справка!$B$3</definedName>
    <definedName name="Хранение_передача">'[1]Опросный лист термоманометр'!$L$80:$L$81</definedName>
    <definedName name="Щуп_Диаметр">OFFSET('[1]Опросный лист термоманометр'!$L$45:$N$49,0,'[1]Опросный лист термоманометр'!$I$24-1,,1)</definedName>
    <definedName name="Щуп_Длина">OFFSET('[1]Опросный лист термоманометр'!$L$40:$N$43,0,'[1]Опросный лист термоманометр'!$I$24-1,,1)</definedName>
    <definedName name="Щуп_Крепление">OFFSET('[1]Опросный лист термоманометр'!$L$51:$N$55,0,'[1]Опросный лист термоманометр'!$I$24-1,,1)</definedName>
  </definedNames>
  <calcPr calcId="145621"/>
</workbook>
</file>

<file path=xl/calcChain.xml><?xml version="1.0" encoding="utf-8"?>
<calcChain xmlns="http://schemas.openxmlformats.org/spreadsheetml/2006/main">
  <c r="V102" i="5" l="1"/>
  <c r="V103" i="5"/>
  <c r="L103" i="5"/>
  <c r="L102" i="5"/>
  <c r="C74" i="2" l="1"/>
  <c r="B49" i="2" l="1"/>
  <c r="E128" i="5"/>
  <c r="D128" i="5"/>
  <c r="D127" i="5"/>
  <c r="B82" i="5"/>
  <c r="C82" i="5" s="1"/>
  <c r="W101" i="5" l="1"/>
  <c r="M101" i="5"/>
  <c r="O78" i="5" l="1"/>
  <c r="O79" i="5"/>
  <c r="G15" i="5" a="1"/>
  <c r="G15" i="5" s="1"/>
  <c r="G23" i="5" a="1"/>
  <c r="G23" i="5" s="1"/>
  <c r="J35" i="5"/>
  <c r="N15" i="5" l="1"/>
  <c r="J15" i="5"/>
  <c r="M15" i="5"/>
  <c r="I15" i="5"/>
  <c r="O15" i="5"/>
  <c r="L15" i="5"/>
  <c r="H15" i="5"/>
  <c r="K15" i="5"/>
  <c r="I23" i="5"/>
  <c r="N23" i="5"/>
  <c r="J23" i="5"/>
  <c r="M23" i="5"/>
  <c r="O23" i="5"/>
  <c r="L23" i="5"/>
  <c r="H23" i="5"/>
  <c r="K23" i="5"/>
  <c r="D20" i="5"/>
  <c r="D19" i="5"/>
  <c r="D18" i="5"/>
  <c r="D17" i="5"/>
  <c r="D16" i="5"/>
  <c r="C4" i="5"/>
  <c r="B4" i="5"/>
  <c r="E41" i="5" l="1"/>
  <c r="E42" i="5"/>
  <c r="E45" i="5"/>
  <c r="C39" i="5" s="1"/>
  <c r="A137" i="5" s="1"/>
  <c r="E43" i="5"/>
  <c r="D44" i="5"/>
  <c r="A134" i="5"/>
  <c r="D41" i="5"/>
  <c r="D43" i="5"/>
  <c r="D42" i="5"/>
  <c r="E115" i="5"/>
  <c r="E116" i="5"/>
  <c r="D115" i="5"/>
  <c r="D116" i="5"/>
  <c r="B107" i="5"/>
  <c r="C107" i="5" s="1"/>
  <c r="E122" i="5" l="1"/>
  <c r="C118" i="5" s="1"/>
  <c r="B118" i="5"/>
  <c r="U101" i="5" l="1"/>
  <c r="U102" i="5"/>
  <c r="K101" i="5"/>
  <c r="K102" i="5"/>
  <c r="Y102" i="5" l="1"/>
  <c r="Q101" i="5"/>
  <c r="K36" i="5" l="1"/>
  <c r="K35" i="5"/>
  <c r="O77" i="5" l="1"/>
  <c r="O76" i="5"/>
  <c r="J36" i="5"/>
  <c r="N101" i="5" l="1"/>
  <c r="L101" i="5"/>
  <c r="V101" i="5" l="1"/>
  <c r="X102" i="5"/>
  <c r="X101" i="5"/>
  <c r="G101" i="5" l="1"/>
  <c r="G102" i="5"/>
  <c r="C113" i="5" l="1"/>
  <c r="B113" i="5"/>
  <c r="W102" i="5" l="1"/>
  <c r="T102" i="5"/>
  <c r="S102" i="5"/>
  <c r="R101" i="5"/>
  <c r="Q102" i="5"/>
  <c r="B89" i="5"/>
  <c r="E97" i="5"/>
  <c r="C89" i="5" l="1"/>
  <c r="B125" i="5" l="1"/>
  <c r="C125" i="5" s="1"/>
  <c r="C68" i="2"/>
  <c r="B15" i="5" l="1"/>
  <c r="K53" i="5" l="1"/>
  <c r="K54" i="5"/>
  <c r="K58" i="5"/>
  <c r="K51" i="5"/>
  <c r="K55" i="5"/>
  <c r="K59" i="5"/>
  <c r="K52" i="5"/>
  <c r="K56" i="5"/>
  <c r="K57" i="5"/>
  <c r="K60" i="5"/>
  <c r="J50" i="5"/>
  <c r="J54" i="5"/>
  <c r="J58" i="5"/>
  <c r="J57" i="5"/>
  <c r="J51" i="5"/>
  <c r="J55" i="5"/>
  <c r="J52" i="5"/>
  <c r="J56" i="5"/>
  <c r="J53" i="5"/>
  <c r="I51" i="5"/>
  <c r="I52" i="5"/>
  <c r="I56" i="5"/>
  <c r="I57" i="5"/>
  <c r="I50" i="5"/>
  <c r="I54" i="5"/>
  <c r="I55" i="5"/>
  <c r="I53" i="5"/>
  <c r="E31" i="5"/>
  <c r="D30" i="5"/>
  <c r="D31" i="5"/>
  <c r="M24" i="5"/>
  <c r="M25" i="5"/>
  <c r="M26" i="5"/>
  <c r="L24" i="5"/>
  <c r="L25" i="5"/>
  <c r="L26" i="5"/>
  <c r="K24" i="5"/>
  <c r="K25" i="5"/>
  <c r="K26" i="5"/>
  <c r="O24" i="5"/>
  <c r="O25" i="5"/>
  <c r="O26" i="5"/>
  <c r="J24" i="5"/>
  <c r="J25" i="5"/>
  <c r="J26" i="5"/>
  <c r="I24" i="5"/>
  <c r="I25" i="5"/>
  <c r="I26" i="5"/>
  <c r="G25" i="5"/>
  <c r="G26" i="5"/>
  <c r="G24" i="5"/>
  <c r="C15" i="5"/>
  <c r="D24" i="5" l="1"/>
  <c r="D25" i="5"/>
  <c r="D26" i="5"/>
  <c r="B23" i="5" l="1"/>
  <c r="M67" i="5" l="1"/>
  <c r="G59" i="5"/>
  <c r="M50" i="5"/>
  <c r="G60" i="5"/>
  <c r="C23" i="5"/>
  <c r="G51" i="5"/>
  <c r="G55" i="5"/>
  <c r="G58" i="5"/>
  <c r="G57" i="5"/>
  <c r="G56" i="5"/>
  <c r="G54" i="5"/>
  <c r="G53" i="5"/>
  <c r="G52" i="5"/>
  <c r="D45" i="5"/>
  <c r="C72" i="2"/>
  <c r="F34" i="5"/>
  <c r="D61" i="5" l="1"/>
  <c r="D62" i="5"/>
  <c r="D60" i="5"/>
  <c r="D59" i="5"/>
  <c r="C30" i="5"/>
  <c r="A136" i="5" s="1"/>
  <c r="C70" i="2" s="1"/>
  <c r="B39" i="5"/>
  <c r="E101" i="5"/>
  <c r="E102" i="5"/>
  <c r="E103" i="5"/>
  <c r="E104" i="5"/>
  <c r="D102" i="5"/>
  <c r="D103" i="5"/>
  <c r="D104" i="5"/>
  <c r="D101" i="5"/>
  <c r="B30" i="2" l="1"/>
  <c r="C69" i="2"/>
  <c r="N67" i="5"/>
  <c r="B99" i="5"/>
  <c r="L51" i="5" s="1"/>
  <c r="B30" i="5"/>
  <c r="C99" i="5" l="1"/>
  <c r="L50" i="5"/>
  <c r="B28" i="2"/>
  <c r="G77" i="5"/>
  <c r="D35" i="5"/>
  <c r="B34" i="5" s="1"/>
  <c r="D36" i="5"/>
  <c r="I77" i="5"/>
  <c r="I76" i="5"/>
  <c r="G76" i="5"/>
  <c r="D76" i="5" s="1"/>
  <c r="C34" i="5" l="1"/>
  <c r="E35" i="5"/>
  <c r="C35" i="5" s="1"/>
  <c r="D51" i="5"/>
  <c r="D57" i="5"/>
  <c r="D52" i="5"/>
  <c r="D58" i="5"/>
  <c r="D54" i="5"/>
  <c r="D53" i="5"/>
  <c r="D55" i="5"/>
  <c r="D50" i="5"/>
  <c r="D56" i="5"/>
  <c r="B48" i="5" l="1"/>
  <c r="L67" i="5" s="1"/>
  <c r="K67" i="5" l="1"/>
  <c r="K69" i="5"/>
  <c r="K68" i="5"/>
  <c r="K79" i="5"/>
  <c r="D79" i="5" s="1"/>
  <c r="K70" i="5"/>
  <c r="K77" i="5"/>
  <c r="D77" i="5" s="1"/>
  <c r="B74" i="5" s="1"/>
  <c r="C75" i="5" s="1"/>
  <c r="K78" i="5"/>
  <c r="D78" i="5" s="1"/>
  <c r="J67" i="5"/>
  <c r="J70" i="5"/>
  <c r="J68" i="5"/>
  <c r="J69" i="5"/>
  <c r="J71" i="5"/>
  <c r="I71" i="5"/>
  <c r="I68" i="5"/>
  <c r="I69" i="5"/>
  <c r="I70" i="5"/>
  <c r="I67" i="5"/>
  <c r="G67" i="5"/>
  <c r="G70" i="5"/>
  <c r="G68" i="5"/>
  <c r="G69" i="5"/>
  <c r="C48" i="5"/>
  <c r="B37" i="2" l="1"/>
  <c r="C74" i="5"/>
  <c r="A135" i="5" s="1"/>
  <c r="C73" i="2" s="1"/>
  <c r="D71" i="5"/>
  <c r="D69" i="5"/>
  <c r="D68" i="5"/>
  <c r="D70" i="5"/>
  <c r="D67" i="5"/>
  <c r="B65" i="5" s="1"/>
  <c r="C66" i="5" s="1"/>
  <c r="C35" i="2" l="1"/>
  <c r="C65" i="5"/>
  <c r="A132" i="5" l="1"/>
  <c r="C66" i="2" s="1"/>
</calcChain>
</file>

<file path=xl/comments1.xml><?xml version="1.0" encoding="utf-8"?>
<comments xmlns="http://schemas.openxmlformats.org/spreadsheetml/2006/main">
  <authors>
    <author>Кукина Ольга</author>
  </authors>
  <commentList>
    <comment ref="A22" authorId="0">
      <text>
        <r>
          <rPr>
            <sz val="9"/>
            <color indexed="81"/>
            <rFont val="Tahoma"/>
            <family val="2"/>
            <charset val="204"/>
          </rPr>
          <t>Нажмите для справки</t>
        </r>
      </text>
    </comment>
    <comment ref="A47" authorId="0">
      <text>
        <r>
          <rPr>
            <sz val="9"/>
            <color indexed="81"/>
            <rFont val="Tahoma"/>
            <family val="2"/>
            <charset val="204"/>
          </rPr>
          <t>Нажмите для справки</t>
        </r>
      </text>
    </comment>
  </commentList>
</comments>
</file>

<file path=xl/sharedStrings.xml><?xml version="1.0" encoding="utf-8"?>
<sst xmlns="http://schemas.openxmlformats.org/spreadsheetml/2006/main" count="396" uniqueCount="110">
  <si>
    <t>Информацию подготовил:</t>
  </si>
  <si>
    <t>Фамилия, Имя, Отчество</t>
  </si>
  <si>
    <t>Компания</t>
  </si>
  <si>
    <t>Почтовый адрес</t>
  </si>
  <si>
    <t>Телефон/Факс</t>
  </si>
  <si>
    <t>другое</t>
  </si>
  <si>
    <t>другая</t>
  </si>
  <si>
    <t>Количество, шт</t>
  </si>
  <si>
    <t>Дополнительные требования</t>
  </si>
  <si>
    <t>другой</t>
  </si>
  <si>
    <t>Если выбрано "другое", то впишите значение</t>
  </si>
  <si>
    <t>Код для заказа</t>
  </si>
  <si>
    <t>не требуется</t>
  </si>
  <si>
    <t>Защита кабеля</t>
  </si>
  <si>
    <t>без дополнительной защиты</t>
  </si>
  <si>
    <t>труба гофрированная полимерная</t>
  </si>
  <si>
    <t>Свидетельство о поверке</t>
  </si>
  <si>
    <t>штуцер подвижный</t>
  </si>
  <si>
    <t xml:space="preserve">другая </t>
  </si>
  <si>
    <t>Диапазон измерения, °C</t>
  </si>
  <si>
    <t>Предел допускаемой абсолютной погрешности, °C</t>
  </si>
  <si>
    <t>Длина кабеля, м</t>
  </si>
  <si>
    <t>Выбранный вариант</t>
  </si>
  <si>
    <t>Исходные данные для выбора</t>
  </si>
  <si>
    <t>В спецификацию</t>
  </si>
  <si>
    <t/>
  </si>
  <si>
    <t>в виде цилиндрической гильзы</t>
  </si>
  <si>
    <t>с коммутационной головкой без штуцера</t>
  </si>
  <si>
    <t>с коммутационной головкой со штуцером</t>
  </si>
  <si>
    <t>со штуцером</t>
  </si>
  <si>
    <t>в виде гильзы под винт</t>
  </si>
  <si>
    <t>в виде гильзы под торцевое крепление</t>
  </si>
  <si>
    <t>Присоединительная резьба штуцера</t>
  </si>
  <si>
    <t xml:space="preserve">Опросный лист на Термометр "Автон" </t>
  </si>
  <si>
    <t>-40..+85</t>
  </si>
  <si>
    <t>-40..+125</t>
  </si>
  <si>
    <t>-40..+250</t>
  </si>
  <si>
    <t>-40..+300</t>
  </si>
  <si>
    <t>Справка</t>
  </si>
  <si>
    <t>Способы крепления термощупа:</t>
  </si>
  <si>
    <t>Дополнительная комплектация</t>
  </si>
  <si>
    <t>в виде цилиндрической гильзы (для использования в воде)</t>
  </si>
  <si>
    <t>Столбец1</t>
  </si>
  <si>
    <t>Столбец2</t>
  </si>
  <si>
    <t>, 1м</t>
  </si>
  <si>
    <t>, 2м</t>
  </si>
  <si>
    <t>, 3м</t>
  </si>
  <si>
    <t>, 5м</t>
  </si>
  <si>
    <t>, 7м</t>
  </si>
  <si>
    <t>, 10м</t>
  </si>
  <si>
    <t>, ТГ</t>
  </si>
  <si>
    <t>Передача данных</t>
  </si>
  <si>
    <t>LoRaWAN + Bluetooth Low Energy</t>
  </si>
  <si>
    <t>, LoRa</t>
  </si>
  <si>
    <t>NB-IoT + Bluetooth Low Energy</t>
  </si>
  <si>
    <t>, NB-IoT</t>
  </si>
  <si>
    <t>Рабочие условия эксплуатации</t>
  </si>
  <si>
    <t>Диапазон измерения</t>
  </si>
  <si>
    <t>Предел допускаемой абсолютной погрешности</t>
  </si>
  <si>
    <t>Длина кабеля</t>
  </si>
  <si>
    <t>от -40 до +60 °C (индустриальный температурный диапазон)</t>
  </si>
  <si>
    <t>в виде гильзы с лыской</t>
  </si>
  <si>
    <t>1</t>
  </si>
  <si>
    <t>2</t>
  </si>
  <si>
    <t>Штуцер передвижной для регулирования глубины погружения датчика температуры</t>
  </si>
  <si>
    <t>Крепление</t>
  </si>
  <si>
    <t>Кронштейн</t>
  </si>
  <si>
    <t>Кронштейн магнитный</t>
  </si>
  <si>
    <t>Варианты креплений</t>
  </si>
  <si>
    <t>?</t>
  </si>
  <si>
    <t>9.5</t>
  </si>
  <si>
    <t>М20х1.5</t>
  </si>
  <si>
    <t>История изменений:</t>
  </si>
  <si>
    <t>Заменила иллюстрацию магнитного крепления.</t>
  </si>
  <si>
    <t xml:space="preserve">, </t>
  </si>
  <si>
    <t>, 2-</t>
  </si>
  <si>
    <t>, 4-</t>
  </si>
  <si>
    <t>ТЩ0</t>
  </si>
  <si>
    <t>ТЩ1</t>
  </si>
  <si>
    <t>ТЩ2</t>
  </si>
  <si>
    <t>ТЩ3</t>
  </si>
  <si>
    <t>ТЩ4</t>
  </si>
  <si>
    <t>ТЩ5</t>
  </si>
  <si>
    <t>ТЩ6</t>
  </si>
  <si>
    <t>ТЩX</t>
  </si>
  <si>
    <t>Количество термопреобразователей</t>
  </si>
  <si>
    <t>Конструктивное исполнение термопреобразователя</t>
  </si>
  <si>
    <t>Длина термопреобразователя, мм</t>
  </si>
  <si>
    <t>Диаметр термопреобразователя, мм</t>
  </si>
  <si>
    <t>Способ крепления термопреобразователя</t>
  </si>
  <si>
    <t>Длина термопреобразователя</t>
  </si>
  <si>
    <t>Диаметр термопреобразователя</t>
  </si>
  <si>
    <t>Термометры с одним, двумя и четырьмя термопреобразователями:</t>
  </si>
  <si>
    <t>Добавила возможность выбора 2 и 4 термопреобразователей (без возможности поверки).
Исправила ошибку при выборе магнитного крепления термопреобразователя.
Добавила номер версии на первую страницу.</t>
  </si>
  <si>
    <t>Добавила в комплектацию отображение выбранного крепления ТЩ6.</t>
  </si>
  <si>
    <t>Добавила защиту кабеля "трубка силиконовая" для погружного термощупа.</t>
  </si>
  <si>
    <t>трубка силиконовая</t>
  </si>
  <si>
    <t>, ТС</t>
  </si>
  <si>
    <t>Добавила ТЩ4-37мм-14мм.</t>
  </si>
  <si>
    <t>Убрала элементы ActiveX.</t>
  </si>
  <si>
    <t>Габаритные размеры ТЩ0--45мм-7.5мм</t>
  </si>
  <si>
    <t>Добавила появляющуюся при выборе термощупа ТЩ0-45мм-7.5мм информацию и рисунок на листе Справка.</t>
  </si>
  <si>
    <t>Кронштейн в сборе K005.24</t>
  </si>
  <si>
    <t xml:space="preserve">Крепление магнитное K005.17-02 </t>
  </si>
  <si>
    <t>Кронштейн в сборе</t>
  </si>
  <si>
    <t>Крепление магнитное</t>
  </si>
  <si>
    <t xml:space="preserve">Заменила информацию о кронштейнах в связи с переходом на корпус из поликарбоната. 
Убрала ШП (штуцер подвижный) из обозначения. </t>
  </si>
  <si>
    <t>Добавила ТЩ4-23мм-19мм с защитой трубкой силиконовой</t>
  </si>
  <si>
    <t>Версия: 30.04.2025</t>
  </si>
  <si>
    <t>Сжатие рисунков.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</si>
</sst>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7" x14ac:knownFonts="1">
    <font>
      <sz val="10"/>
      <name val="Arial Cyr"/>
      <charset val="204"/>
    </font>
    <font>
      <sz val="11"/>
      <name val="Calibri"/>
      <family val="2"/>
      <charset val="204"/>
    </font>
    <font>
      <sz val="12"/>
      <name val="Calibri"/>
      <family val="2"/>
      <charset val="204"/>
      <scheme val="minor"/>
    </font>
    <font>
      <b/>
      <i/>
      <u/>
      <sz val="10"/>
      <color theme="9" tint="-0.249977111117893"/>
      <name val="Arial"/>
      <family val="2"/>
      <charset val="204"/>
    </font>
    <font>
      <b/>
      <sz val="12"/>
      <color rgb="FF1E1E1E"/>
      <name val="Segoe UI"/>
      <family val="2"/>
      <charset val="204"/>
    </font>
    <font>
      <sz val="12"/>
      <color theme="0"/>
      <name val="Calibri"/>
      <family val="2"/>
      <charset val="204"/>
      <scheme val="minor"/>
    </font>
    <font>
      <sz val="10"/>
      <color theme="0"/>
      <name val="Arial Cyr"/>
      <charset val="204"/>
    </font>
    <font>
      <b/>
      <i/>
      <u/>
      <sz val="10"/>
      <color theme="0"/>
      <name val="Arial"/>
      <family val="2"/>
      <charset val="204"/>
    </font>
    <font>
      <b/>
      <sz val="14"/>
      <name val="Arial Cyr"/>
      <charset val="204"/>
    </font>
    <font>
      <sz val="11"/>
      <color theme="1"/>
      <name val="Times New Roman"/>
      <family val="1"/>
      <charset val="204"/>
    </font>
    <font>
      <b/>
      <sz val="10"/>
      <name val="Arial Cyr"/>
      <charset val="204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0"/>
      <color theme="1"/>
      <name val="Arial Cyr"/>
      <charset val="204"/>
    </font>
    <font>
      <b/>
      <sz val="10"/>
      <color theme="1"/>
      <name val="Arial Cyr"/>
      <charset val="204"/>
    </font>
    <font>
      <sz val="11"/>
      <name val="Arial Cyr"/>
      <charset val="204"/>
    </font>
    <font>
      <sz val="9"/>
      <color indexed="81"/>
      <name val="Tahoma"/>
      <family val="2"/>
      <charset val="204"/>
    </font>
    <font>
      <u/>
      <sz val="10"/>
      <color theme="10"/>
      <name val="Arial Cyr"/>
      <charset val="204"/>
    </font>
    <font>
      <b/>
      <sz val="16"/>
      <color rgb="FF00B050"/>
      <name val="Arial Cyr"/>
      <charset val="204"/>
    </font>
    <font>
      <sz val="10"/>
      <name val="Calibri"/>
      <family val="2"/>
      <charset val="204"/>
    </font>
    <font>
      <b/>
      <sz val="10"/>
      <name val="Arial"/>
      <family val="2"/>
      <charset val="204"/>
    </font>
    <font>
      <b/>
      <sz val="12"/>
      <color theme="0"/>
      <name val="Calibri"/>
      <family val="2"/>
      <charset val="204"/>
      <scheme val="minor"/>
    </font>
    <font>
      <u/>
      <sz val="11"/>
      <color rgb="FF0070C0"/>
      <name val="Calibri"/>
      <family val="2"/>
      <charset val="204"/>
      <scheme val="minor"/>
    </font>
    <font>
      <b/>
      <sz val="10"/>
      <color theme="0" tint="-0.249977111117893"/>
      <name val="Arial Cyr"/>
      <charset val="204"/>
    </font>
    <font>
      <sz val="10"/>
      <color theme="0" tint="-0.249977111117893"/>
      <name val="Arial Cyr"/>
      <charset val="204"/>
    </font>
    <font>
      <sz val="12"/>
      <color theme="0" tint="-0.249977111117893"/>
      <name val="Calibri"/>
      <family val="2"/>
      <charset val="204"/>
      <scheme val="minor"/>
    </font>
    <font>
      <sz val="11"/>
      <color theme="0" tint="-0.249977111117893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 tint="0.34998626667073579"/>
        <bgColor indexed="64"/>
      </patternFill>
    </fill>
  </fills>
  <borders count="3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theme="0" tint="-0.499984740745262"/>
      </left>
      <right style="thin">
        <color theme="0" tint="-0.14996795556505021"/>
      </right>
      <top style="medium">
        <color theme="0" tint="-0.499984740745262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14996795556505021"/>
      </bottom>
      <diagonal/>
    </border>
    <border>
      <left/>
      <right/>
      <top style="medium">
        <color theme="0" tint="-0.499984740745262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medium">
        <color theme="0" tint="-0.499984740745262"/>
      </top>
      <bottom style="thin">
        <color theme="0" tint="-0.14996795556505021"/>
      </bottom>
      <diagonal/>
    </border>
  </borders>
  <cellStyleXfs count="3">
    <xf numFmtId="0" fontId="0" fillId="0" borderId="0"/>
    <xf numFmtId="0" fontId="17" fillId="0" borderId="0" applyNumberFormat="0" applyFill="0" applyBorder="0" applyAlignment="0" applyProtection="0"/>
    <xf numFmtId="0" fontId="2" fillId="0" borderId="29">
      <alignment horizontal="left" wrapText="1"/>
      <protection locked="0" hidden="1"/>
    </xf>
  </cellStyleXfs>
  <cellXfs count="168">
    <xf numFmtId="0" fontId="0" fillId="0" borderId="0" xfId="0"/>
    <xf numFmtId="0" fontId="2" fillId="0" borderId="0" xfId="0" applyFont="1"/>
    <xf numFmtId="0" fontId="0" fillId="2" borderId="0" xfId="0" applyFill="1"/>
    <xf numFmtId="2" fontId="0" fillId="0" borderId="0" xfId="0" applyNumberFormat="1"/>
    <xf numFmtId="0" fontId="4" fillId="0" borderId="0" xfId="0" applyFont="1"/>
    <xf numFmtId="0" fontId="1" fillId="0" borderId="0" xfId="0" applyFont="1"/>
    <xf numFmtId="0" fontId="2" fillId="0" borderId="0" xfId="0" applyFont="1" applyAlignment="1">
      <alignment vertical="top" wrapText="1"/>
    </xf>
    <xf numFmtId="0" fontId="0" fillId="0" borderId="0" xfId="0" applyNumberFormat="1"/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0" fontId="4" fillId="0" borderId="0" xfId="0" applyFont="1" applyAlignment="1">
      <alignment horizontal="right"/>
    </xf>
    <xf numFmtId="0" fontId="8" fillId="0" borderId="0" xfId="0" applyFont="1" applyAlignment="1">
      <alignment vertical="center"/>
    </xf>
    <xf numFmtId="0" fontId="0" fillId="3" borderId="0" xfId="0" applyFill="1"/>
    <xf numFmtId="0" fontId="2" fillId="3" borderId="0" xfId="0" applyFont="1" applyFill="1"/>
    <xf numFmtId="0" fontId="9" fillId="0" borderId="0" xfId="0" applyFont="1" applyBorder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0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10" fillId="0" borderId="0" xfId="0" applyFont="1"/>
    <xf numFmtId="0" fontId="0" fillId="3" borderId="1" xfId="0" applyFill="1" applyBorder="1"/>
    <xf numFmtId="0" fontId="2" fillId="3" borderId="1" xfId="0" applyFont="1" applyFill="1" applyBorder="1"/>
    <xf numFmtId="0" fontId="2" fillId="3" borderId="4" xfId="0" applyFont="1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0" borderId="9" xfId="0" applyBorder="1"/>
    <xf numFmtId="0" fontId="0" fillId="3" borderId="0" xfId="0" applyFill="1" applyAlignment="1">
      <alignment horizontal="left"/>
    </xf>
    <xf numFmtId="0" fontId="0" fillId="0" borderId="9" xfId="0" quotePrefix="1" applyBorder="1"/>
    <xf numFmtId="0" fontId="0" fillId="0" borderId="0" xfId="0" applyBorder="1"/>
    <xf numFmtId="0" fontId="0" fillId="0" borderId="0" xfId="0" quotePrefix="1" applyBorder="1"/>
    <xf numFmtId="0" fontId="0" fillId="3" borderId="0" xfId="0" applyFill="1" applyAlignment="1">
      <alignment horizontal="right"/>
    </xf>
    <xf numFmtId="0" fontId="0" fillId="3" borderId="0" xfId="0" applyFill="1" applyAlignment="1">
      <alignment wrapText="1"/>
    </xf>
    <xf numFmtId="0" fontId="1" fillId="0" borderId="9" xfId="0" applyFont="1" applyBorder="1"/>
    <xf numFmtId="0" fontId="1" fillId="0" borderId="0" xfId="0" applyFont="1" applyBorder="1"/>
    <xf numFmtId="0" fontId="0" fillId="0" borderId="0" xfId="0" quotePrefix="1"/>
    <xf numFmtId="2" fontId="0" fillId="0" borderId="9" xfId="0" quotePrefix="1" applyNumberFormat="1" applyBorder="1"/>
    <xf numFmtId="0" fontId="11" fillId="0" borderId="0" xfId="0" applyFont="1"/>
    <xf numFmtId="0" fontId="11" fillId="0" borderId="0" xfId="0" applyFont="1" applyAlignment="1">
      <alignment horizontal="right"/>
    </xf>
    <xf numFmtId="0" fontId="11" fillId="0" borderId="0" xfId="0" applyNumberFormat="1" applyFont="1"/>
    <xf numFmtId="0" fontId="11" fillId="0" borderId="0" xfId="0" applyNumberFormat="1" applyFont="1" applyAlignment="1">
      <alignment horizontal="right"/>
    </xf>
    <xf numFmtId="0" fontId="11" fillId="3" borderId="0" xfId="0" applyFont="1" applyFill="1"/>
    <xf numFmtId="0" fontId="11" fillId="3" borderId="0" xfId="0" applyFont="1" applyFill="1" applyAlignment="1">
      <alignment horizontal="left"/>
    </xf>
    <xf numFmtId="0" fontId="10" fillId="0" borderId="0" xfId="0" applyNumberFormat="1" applyFont="1"/>
    <xf numFmtId="0" fontId="0" fillId="0" borderId="0" xfId="0" applyAlignment="1">
      <alignment vertical="top" wrapText="1"/>
    </xf>
    <xf numFmtId="0" fontId="0" fillId="3" borderId="0" xfId="0" applyNumberFormat="1" applyFill="1"/>
    <xf numFmtId="0" fontId="0" fillId="3" borderId="0" xfId="0" applyNumberFormat="1" applyFill="1" applyAlignment="1">
      <alignment horizontal="right"/>
    </xf>
    <xf numFmtId="0" fontId="1" fillId="3" borderId="0" xfId="0" applyFont="1" applyFill="1"/>
    <xf numFmtId="0" fontId="1" fillId="0" borderId="0" xfId="0" quotePrefix="1" applyFont="1"/>
    <xf numFmtId="0" fontId="0" fillId="0" borderId="12" xfId="0" applyFill="1" applyBorder="1"/>
    <xf numFmtId="0" fontId="0" fillId="0" borderId="9" xfId="0" applyBorder="1" applyAlignment="1">
      <alignment horizontal="right"/>
    </xf>
    <xf numFmtId="0" fontId="0" fillId="0" borderId="9" xfId="0" quotePrefix="1" applyBorder="1" applyAlignment="1">
      <alignment horizontal="right"/>
    </xf>
    <xf numFmtId="0" fontId="2" fillId="2" borderId="0" xfId="0" applyFont="1" applyFill="1"/>
    <xf numFmtId="0" fontId="2" fillId="0" borderId="0" xfId="0" applyFont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2" fillId="3" borderId="8" xfId="0" applyFont="1" applyFill="1" applyBorder="1"/>
    <xf numFmtId="0" fontId="0" fillId="0" borderId="15" xfId="0" applyBorder="1"/>
    <xf numFmtId="0" fontId="2" fillId="0" borderId="15" xfId="0" applyFont="1" applyBorder="1"/>
    <xf numFmtId="0" fontId="2" fillId="0" borderId="16" xfId="0" applyFont="1" applyBorder="1"/>
    <xf numFmtId="0" fontId="0" fillId="0" borderId="0" xfId="0" quotePrefix="1" applyNumberFormat="1"/>
    <xf numFmtId="0" fontId="0" fillId="5" borderId="0" xfId="0" applyFill="1"/>
    <xf numFmtId="0" fontId="13" fillId="0" borderId="18" xfId="0" applyFont="1" applyBorder="1"/>
    <xf numFmtId="0" fontId="13" fillId="6" borderId="18" xfId="0" applyFont="1" applyFill="1" applyBorder="1"/>
    <xf numFmtId="0" fontId="14" fillId="0" borderId="19" xfId="0" applyFont="1" applyBorder="1"/>
    <xf numFmtId="0" fontId="13" fillId="6" borderId="17" xfId="0" applyFont="1" applyFill="1" applyBorder="1"/>
    <xf numFmtId="0" fontId="13" fillId="0" borderId="17" xfId="0" applyFont="1" applyBorder="1"/>
    <xf numFmtId="0" fontId="13" fillId="0" borderId="20" xfId="0" applyFont="1" applyBorder="1"/>
    <xf numFmtId="0" fontId="15" fillId="0" borderId="0" xfId="0" applyFont="1" applyAlignment="1"/>
    <xf numFmtId="0" fontId="15" fillId="0" borderId="0" xfId="0" applyFont="1"/>
    <xf numFmtId="0" fontId="2" fillId="0" borderId="0" xfId="0" applyFont="1" applyAlignment="1">
      <alignment horizontal="center" vertical="top" wrapText="1"/>
    </xf>
    <xf numFmtId="0" fontId="0" fillId="0" borderId="13" xfId="0" applyBorder="1"/>
    <xf numFmtId="0" fontId="12" fillId="0" borderId="0" xfId="0" applyFont="1" applyAlignment="1">
      <alignment horizontal="left" vertical="center"/>
    </xf>
    <xf numFmtId="0" fontId="0" fillId="0" borderId="9" xfId="0" applyBorder="1" applyAlignment="1">
      <alignment horizontal="left" vertical="top" wrapText="1"/>
    </xf>
    <xf numFmtId="0" fontId="0" fillId="0" borderId="9" xfId="0" quotePrefix="1" applyBorder="1" applyAlignment="1">
      <alignment horizontal="center" vertical="center"/>
    </xf>
    <xf numFmtId="2" fontId="0" fillId="0" borderId="9" xfId="0" quotePrefix="1" applyNumberFormat="1" applyBorder="1" applyAlignment="1">
      <alignment horizontal="right"/>
    </xf>
    <xf numFmtId="16" fontId="0" fillId="0" borderId="9" xfId="0" quotePrefix="1" applyNumberFormat="1" applyBorder="1" applyAlignment="1">
      <alignment horizontal="right"/>
    </xf>
    <xf numFmtId="0" fontId="2" fillId="4" borderId="3" xfId="0" applyFont="1" applyFill="1" applyBorder="1" applyAlignment="1" applyProtection="1">
      <alignment horizontal="left" vertical="top"/>
      <protection hidden="1"/>
    </xf>
    <xf numFmtId="0" fontId="2" fillId="4" borderId="11" xfId="0" applyFont="1" applyFill="1" applyBorder="1" applyAlignment="1" applyProtection="1">
      <alignment horizontal="left"/>
      <protection hidden="1"/>
    </xf>
    <xf numFmtId="0" fontId="2" fillId="4" borderId="0" xfId="0" applyFont="1" applyFill="1" applyBorder="1" applyAlignment="1" applyProtection="1">
      <alignment horizontal="left"/>
      <protection hidden="1"/>
    </xf>
    <xf numFmtId="0" fontId="2" fillId="0" borderId="15" xfId="0" applyFont="1" applyBorder="1" applyProtection="1">
      <protection locked="0" hidden="1"/>
    </xf>
    <xf numFmtId="0" fontId="5" fillId="0" borderId="15" xfId="0" applyFont="1" applyBorder="1" applyProtection="1">
      <protection locked="0" hidden="1"/>
    </xf>
    <xf numFmtId="0" fontId="0" fillId="0" borderId="15" xfId="0" applyBorder="1" applyProtection="1">
      <protection locked="0" hidden="1"/>
    </xf>
    <xf numFmtId="0" fontId="6" fillId="0" borderId="15" xfId="0" applyFont="1" applyBorder="1" applyProtection="1">
      <protection locked="0" hidden="1"/>
    </xf>
    <xf numFmtId="0" fontId="7" fillId="0" borderId="15" xfId="0" applyFont="1" applyFill="1" applyBorder="1" applyAlignment="1" applyProtection="1">
      <alignment vertical="center"/>
      <protection locked="0" hidden="1"/>
    </xf>
    <xf numFmtId="0" fontId="3" fillId="0" borderId="15" xfId="0" applyFont="1" applyFill="1" applyBorder="1" applyAlignment="1" applyProtection="1">
      <alignment vertical="center"/>
      <protection locked="0" hidden="1"/>
    </xf>
    <xf numFmtId="0" fontId="5" fillId="0" borderId="16" xfId="0" applyFont="1" applyBorder="1" applyProtection="1">
      <protection locked="0" hidden="1"/>
    </xf>
    <xf numFmtId="0" fontId="6" fillId="0" borderId="14" xfId="0" applyFont="1" applyFill="1" applyBorder="1" applyProtection="1">
      <protection locked="0" hidden="1"/>
    </xf>
    <xf numFmtId="0" fontId="6" fillId="0" borderId="2" xfId="0" applyFont="1" applyFill="1" applyBorder="1" applyProtection="1">
      <protection locked="0" hidden="1"/>
    </xf>
    <xf numFmtId="0" fontId="0" fillId="0" borderId="0" xfId="0" applyProtection="1">
      <protection locked="0" hidden="1"/>
    </xf>
    <xf numFmtId="0" fontId="19" fillId="0" borderId="0" xfId="0" applyFont="1"/>
    <xf numFmtId="0" fontId="0" fillId="0" borderId="0" xfId="0" applyBorder="1" applyAlignment="1">
      <alignment vertical="top" wrapText="1"/>
    </xf>
    <xf numFmtId="0" fontId="20" fillId="0" borderId="0" xfId="0" applyFont="1"/>
    <xf numFmtId="0" fontId="8" fillId="0" borderId="15" xfId="0" applyFont="1" applyBorder="1" applyAlignment="1">
      <alignment vertical="center"/>
    </xf>
    <xf numFmtId="0" fontId="2" fillId="0" borderId="15" xfId="0" applyFont="1" applyBorder="1" applyAlignment="1" applyProtection="1">
      <alignment horizontal="left" wrapText="1"/>
      <protection locked="0" hidden="1"/>
    </xf>
    <xf numFmtId="0" fontId="2" fillId="0" borderId="15" xfId="0" applyFont="1" applyBorder="1" applyAlignment="1">
      <alignment vertical="center"/>
    </xf>
    <xf numFmtId="0" fontId="18" fillId="0" borderId="15" xfId="1" applyFont="1" applyBorder="1"/>
    <xf numFmtId="0" fontId="2" fillId="2" borderId="25" xfId="0" applyFont="1" applyFill="1" applyBorder="1"/>
    <xf numFmtId="0" fontId="0" fillId="3" borderId="26" xfId="0" applyFill="1" applyBorder="1"/>
    <xf numFmtId="0" fontId="0" fillId="3" borderId="24" xfId="0" applyFill="1" applyBorder="1"/>
    <xf numFmtId="14" fontId="0" fillId="0" borderId="0" xfId="0" applyNumberFormat="1" applyAlignment="1">
      <alignment vertical="center"/>
    </xf>
    <xf numFmtId="0" fontId="21" fillId="7" borderId="27" xfId="0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15" xfId="0" applyFont="1" applyBorder="1" applyProtection="1">
      <protection hidden="1"/>
    </xf>
    <xf numFmtId="0" fontId="2" fillId="0" borderId="15" xfId="0" applyFont="1" applyBorder="1" applyAlignment="1" applyProtection="1">
      <alignment horizontal="left"/>
      <protection hidden="1"/>
    </xf>
    <xf numFmtId="0" fontId="2" fillId="0" borderId="15" xfId="0" applyFont="1" applyBorder="1" applyAlignment="1" applyProtection="1">
      <alignment horizontal="left" vertical="top" wrapText="1"/>
      <protection hidden="1"/>
    </xf>
    <xf numFmtId="0" fontId="2" fillId="0" borderId="16" xfId="0" applyFont="1" applyBorder="1" applyProtection="1">
      <protection hidden="1"/>
    </xf>
    <xf numFmtId="0" fontId="2" fillId="0" borderId="15" xfId="0" applyFont="1" applyBorder="1" applyAlignment="1" applyProtection="1">
      <alignment horizontal="left" vertical="top" wrapText="1"/>
      <protection hidden="1"/>
    </xf>
    <xf numFmtId="0" fontId="2" fillId="4" borderId="0" xfId="0" applyFont="1" applyFill="1" applyBorder="1" applyAlignment="1" applyProtection="1">
      <alignment horizontal="left"/>
      <protection hidden="1"/>
    </xf>
    <xf numFmtId="0" fontId="2" fillId="2" borderId="28" xfId="0" applyFont="1" applyFill="1" applyBorder="1"/>
    <xf numFmtId="0" fontId="0" fillId="0" borderId="25" xfId="0" applyBorder="1"/>
    <xf numFmtId="0" fontId="0" fillId="0" borderId="2" xfId="0" applyBorder="1"/>
    <xf numFmtId="0" fontId="2" fillId="0" borderId="30" xfId="0" applyFont="1" applyBorder="1" applyAlignment="1" applyProtection="1">
      <alignment horizontal="left" wrapText="1"/>
      <protection locked="0" hidden="1"/>
    </xf>
    <xf numFmtId="0" fontId="2" fillId="0" borderId="16" xfId="0" applyFont="1" applyBorder="1" applyAlignment="1" applyProtection="1">
      <alignment horizontal="left" wrapText="1"/>
      <protection locked="0" hidden="1"/>
    </xf>
    <xf numFmtId="0" fontId="2" fillId="0" borderId="15" xfId="0" applyFont="1" applyBorder="1" applyAlignment="1" applyProtection="1">
      <alignment vertical="top"/>
      <protection hidden="1"/>
    </xf>
    <xf numFmtId="0" fontId="2" fillId="4" borderId="0" xfId="0" applyFont="1" applyFill="1"/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29" xfId="2" applyAlignment="1" applyProtection="1">
      <alignment horizontal="left" vertical="center" wrapText="1"/>
      <protection locked="0"/>
    </xf>
    <xf numFmtId="0" fontId="0" fillId="0" borderId="0" xfId="0" applyAlignment="1">
      <alignment horizontal="left"/>
    </xf>
    <xf numFmtId="0" fontId="23" fillId="0" borderId="0" xfId="0" applyNumberFormat="1" applyFont="1"/>
    <xf numFmtId="0" fontId="24" fillId="0" borderId="0" xfId="0" applyFont="1" applyAlignment="1">
      <alignment horizontal="right"/>
    </xf>
    <xf numFmtId="0" fontId="24" fillId="0" borderId="0" xfId="0" applyFont="1"/>
    <xf numFmtId="164" fontId="24" fillId="0" borderId="0" xfId="0" applyNumberFormat="1" applyFont="1" applyBorder="1" applyAlignment="1">
      <alignment horizontal="right"/>
    </xf>
    <xf numFmtId="0" fontId="24" fillId="3" borderId="0" xfId="0" applyFont="1" applyFill="1"/>
    <xf numFmtId="0" fontId="24" fillId="3" borderId="0" xfId="0" applyFont="1" applyFill="1" applyAlignment="1">
      <alignment horizontal="left"/>
    </xf>
    <xf numFmtId="0" fontId="25" fillId="3" borderId="0" xfId="0" applyFont="1" applyFill="1"/>
    <xf numFmtId="0" fontId="24" fillId="0" borderId="9" xfId="0" applyFont="1" applyBorder="1" applyAlignment="1">
      <alignment wrapText="1"/>
    </xf>
    <xf numFmtId="0" fontId="24" fillId="0" borderId="0" xfId="0" applyNumberFormat="1" applyFont="1"/>
    <xf numFmtId="0" fontId="24" fillId="0" borderId="0" xfId="0" applyNumberFormat="1" applyFont="1" applyAlignment="1">
      <alignment horizontal="right"/>
    </xf>
    <xf numFmtId="0" fontId="24" fillId="0" borderId="0" xfId="0" quotePrefix="1" applyNumberFormat="1" applyFont="1"/>
    <xf numFmtId="0" fontId="24" fillId="0" borderId="9" xfId="0" quotePrefix="1" applyFont="1" applyBorder="1"/>
    <xf numFmtId="0" fontId="26" fillId="0" borderId="9" xfId="0" applyFont="1" applyBorder="1"/>
    <xf numFmtId="0" fontId="25" fillId="0" borderId="0" xfId="0" applyFont="1"/>
    <xf numFmtId="14" fontId="0" fillId="0" borderId="0" xfId="0" applyNumberFormat="1"/>
    <xf numFmtId="0" fontId="0" fillId="0" borderId="27" xfId="0" applyBorder="1" applyAlignment="1">
      <alignment horizontal="center"/>
    </xf>
    <xf numFmtId="0" fontId="2" fillId="0" borderId="15" xfId="0" applyFont="1" applyBorder="1" applyAlignment="1" applyProtection="1">
      <alignment horizontal="left" vertical="top" wrapText="1"/>
      <protection hidden="1"/>
    </xf>
    <xf numFmtId="0" fontId="2" fillId="0" borderId="15" xfId="0" applyFont="1" applyBorder="1" applyAlignment="1">
      <alignment horizontal="left" vertical="top" wrapText="1"/>
    </xf>
    <xf numFmtId="0" fontId="2" fillId="4" borderId="11" xfId="0" applyFont="1" applyFill="1" applyBorder="1" applyAlignment="1" applyProtection="1">
      <alignment horizontal="left" vertical="top" wrapText="1"/>
      <protection hidden="1"/>
    </xf>
    <xf numFmtId="0" fontId="2" fillId="4" borderId="0" xfId="0" applyFont="1" applyFill="1" applyBorder="1" applyAlignment="1" applyProtection="1">
      <alignment horizontal="left" vertical="top" wrapText="1"/>
      <protection hidden="1"/>
    </xf>
    <xf numFmtId="0" fontId="2" fillId="4" borderId="4" xfId="0" applyFont="1" applyFill="1" applyBorder="1" applyAlignment="1" applyProtection="1">
      <alignment horizontal="left" vertical="top"/>
      <protection hidden="1"/>
    </xf>
    <xf numFmtId="0" fontId="2" fillId="4" borderId="10" xfId="0" applyFont="1" applyFill="1" applyBorder="1" applyAlignment="1" applyProtection="1">
      <alignment horizontal="left" vertical="top"/>
      <protection hidden="1"/>
    </xf>
    <xf numFmtId="0" fontId="2" fillId="4" borderId="5" xfId="0" applyFont="1" applyFill="1" applyBorder="1" applyAlignment="1" applyProtection="1">
      <alignment horizontal="left" vertical="top"/>
      <protection hidden="1"/>
    </xf>
    <xf numFmtId="0" fontId="2" fillId="4" borderId="21" xfId="0" applyFont="1" applyFill="1" applyBorder="1" applyAlignment="1" applyProtection="1">
      <alignment horizontal="left" vertical="top"/>
      <protection hidden="1"/>
    </xf>
    <xf numFmtId="0" fontId="2" fillId="4" borderId="22" xfId="0" applyFont="1" applyFill="1" applyBorder="1" applyAlignment="1" applyProtection="1">
      <alignment horizontal="left" vertical="top"/>
      <protection hidden="1"/>
    </xf>
    <xf numFmtId="0" fontId="2" fillId="4" borderId="23" xfId="0" applyFont="1" applyFill="1" applyBorder="1" applyAlignment="1" applyProtection="1">
      <alignment horizontal="left" vertical="top"/>
      <protection hidden="1"/>
    </xf>
    <xf numFmtId="0" fontId="2" fillId="4" borderId="11" xfId="0" applyFont="1" applyFill="1" applyBorder="1" applyAlignment="1" applyProtection="1">
      <alignment horizontal="left"/>
      <protection hidden="1"/>
    </xf>
    <xf numFmtId="0" fontId="2" fillId="4" borderId="0" xfId="0" applyFont="1" applyFill="1" applyBorder="1" applyAlignment="1" applyProtection="1">
      <alignment horizontal="left"/>
      <protection hidden="1"/>
    </xf>
    <xf numFmtId="0" fontId="2" fillId="0" borderId="31" xfId="2" applyBorder="1" applyAlignment="1" applyProtection="1">
      <alignment horizontal="left" vertical="top" wrapText="1"/>
      <protection locked="0"/>
    </xf>
    <xf numFmtId="0" fontId="2" fillId="0" borderId="32" xfId="2" applyBorder="1" applyAlignment="1" applyProtection="1">
      <alignment horizontal="left" vertical="top" wrapText="1"/>
      <protection locked="0"/>
    </xf>
    <xf numFmtId="0" fontId="2" fillId="0" borderId="33" xfId="2" applyBorder="1" applyAlignment="1" applyProtection="1">
      <alignment horizontal="left" vertical="top" wrapText="1"/>
      <protection locked="0"/>
    </xf>
    <xf numFmtId="0" fontId="2" fillId="0" borderId="31" xfId="2" applyBorder="1" applyAlignment="1" applyProtection="1">
      <alignment horizontal="left" vertical="center" wrapText="1"/>
      <protection locked="0"/>
    </xf>
    <xf numFmtId="0" fontId="2" fillId="0" borderId="32" xfId="2" applyBorder="1" applyAlignment="1" applyProtection="1">
      <alignment horizontal="left" vertical="center" wrapText="1"/>
      <protection locked="0"/>
    </xf>
    <xf numFmtId="0" fontId="2" fillId="0" borderId="33" xfId="2" applyBorder="1" applyAlignment="1" applyProtection="1">
      <alignment horizontal="left" vertical="center" wrapText="1"/>
      <protection locked="0"/>
    </xf>
    <xf numFmtId="0" fontId="2" fillId="0" borderId="29" xfId="2" applyAlignment="1" applyProtection="1">
      <alignment horizontal="left" vertical="center" wrapText="1"/>
      <protection locked="0"/>
    </xf>
    <xf numFmtId="0" fontId="22" fillId="0" borderId="25" xfId="1" applyFont="1" applyBorder="1" applyAlignment="1" applyProtection="1">
      <alignment horizontal="left" vertical="top" wrapText="1"/>
      <protection hidden="1"/>
    </xf>
    <xf numFmtId="0" fontId="22" fillId="0" borderId="28" xfId="1" applyFont="1" applyBorder="1" applyAlignment="1" applyProtection="1">
      <alignment horizontal="left" vertical="top" wrapText="1"/>
      <protection hidden="1"/>
    </xf>
    <xf numFmtId="0" fontId="22" fillId="0" borderId="2" xfId="1" applyFont="1" applyBorder="1" applyAlignment="1" applyProtection="1">
      <alignment horizontal="left" vertical="top" wrapText="1"/>
      <protection hidden="1"/>
    </xf>
    <xf numFmtId="0" fontId="2" fillId="0" borderId="25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Гиперссылка" xfId="1" builtinId="8"/>
    <cellStyle name="Обычный" xfId="0" builtinId="0"/>
    <cellStyle name="Поле ввода" xfId="2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top style="thin">
          <color theme="1"/>
        </top>
      </border>
    </dxf>
    <dxf>
      <border outline="0">
        <left style="thin">
          <color theme="1"/>
        </left>
        <right style="thin">
          <color theme="1"/>
        </right>
      </border>
    </dxf>
    <dxf>
      <border outline="0">
        <bottom style="medium">
          <color theme="1"/>
        </bottom>
      </border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color theme="0" tint="-0.249977111117893"/>
      </font>
      <numFmt numFmtId="0" formatCode="General"/>
    </dxf>
    <dxf>
      <font>
        <strike val="0"/>
        <outline val="0"/>
        <shadow val="0"/>
        <u val="none"/>
        <vertAlign val="baseline"/>
        <color theme="0" tint="-0.249977111117893"/>
      </font>
      <numFmt numFmtId="0" formatCode="General"/>
    </dxf>
    <dxf>
      <font>
        <strike val="0"/>
        <outline val="0"/>
        <shadow val="0"/>
        <u val="none"/>
        <vertAlign val="baseline"/>
        <color theme="0" tint="-0.249977111117893"/>
      </font>
    </dxf>
    <dxf>
      <font>
        <strike val="0"/>
        <outline val="0"/>
        <shadow val="0"/>
        <u val="none"/>
        <vertAlign val="baseline"/>
        <color theme="0" tint="-0.249977111117893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right style="thin">
          <color indexed="64"/>
        </right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Drop" dropLines="10" dropStyle="combo" dx="16" fmlaLink="Лист1!$A$89" fmlaRange="Лист1!$D$91:$D$97" noThreeD="1" val="0"/>
</file>

<file path=xl/ctrlProps/ctrlProp10.xml><?xml version="1.0" encoding="utf-8"?>
<formControlPr xmlns="http://schemas.microsoft.com/office/spreadsheetml/2009/9/main" objectType="Drop" dropStyle="combo" dx="16" fmlaLink="Лист1!$A$113" fmlaRange="Лист1!$D$114:$D$116" noThreeD="1" val="0"/>
</file>

<file path=xl/ctrlProps/ctrlProp11.xml><?xml version="1.0" encoding="utf-8"?>
<formControlPr xmlns="http://schemas.microsoft.com/office/spreadsheetml/2009/9/main" objectType="Drop" dropStyle="combo" dx="16" fmlaLink="Лист1!$A$30" fmlaRange="Лист1!$D$30:$D$31" noThreeD="1" val="0"/>
</file>

<file path=xl/ctrlProps/ctrlProp12.xml><?xml version="1.0" encoding="utf-8"?>
<formControlPr xmlns="http://schemas.microsoft.com/office/spreadsheetml/2009/9/main" objectType="Drop" dropStyle="combo" dx="16" fmlaLink="Лист1!$A$74" fmlaRange="Лист1!$D$76:$D$79" noThreeD="1" val="0"/>
</file>

<file path=xl/ctrlProps/ctrlProp13.xml><?xml version="1.0" encoding="utf-8"?>
<formControlPr xmlns="http://schemas.microsoft.com/office/spreadsheetml/2009/9/main" objectType="Drop" dropStyle="combo" dx="16" fmlaLink="Лист1!$A$39" fmlaRange="Лист1!$D$41:$D$45" noThreeD="1" val="0"/>
</file>

<file path=xl/ctrlProps/ctrlProp14.xml><?xml version="1.0" encoding="utf-8"?>
<formControlPr xmlns="http://schemas.microsoft.com/office/spreadsheetml/2009/9/main" objectType="Radio" checked="Checked" firstButton="1" fmlaLink="Лист1!$A$4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Drop" dropStyle="combo" dx="16" fmlaLink="Лист1!$A$23" fmlaRange="Лист1!$D$24:$D$26" noThreeD="1" sel="2" val="0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Drop" dropStyle="combo" dx="16" fmlaLink="Лист1!$A$82" fmlaRange="Лист1!$D$84:$D$86" noThreeD="1" val="0"/>
</file>

<file path=xl/ctrlProps/ctrlProp3.xml><?xml version="1.0" encoding="utf-8"?>
<formControlPr xmlns="http://schemas.microsoft.com/office/spreadsheetml/2009/9/main" objectType="Drop" dropStyle="combo" dx="16" fmlaLink="Лист1!$A$99" fmlaRange="Лист1!$D$101:$D$104" noThreeD="1" val="0"/>
</file>

<file path=xl/ctrlProps/ctrlProp4.xml><?xml version="1.0" encoding="utf-8"?>
<formControlPr xmlns="http://schemas.microsoft.com/office/spreadsheetml/2009/9/main" objectType="Drop" dropStyle="combo" dx="16" fmlaLink="Лист1!$A$118" fmlaRange="Лист1!$D$119:$D$122" noThreeD="1" val="0"/>
</file>

<file path=xl/ctrlProps/ctrlProp5.xml><?xml version="1.0" encoding="utf-8"?>
<formControlPr xmlns="http://schemas.microsoft.com/office/spreadsheetml/2009/9/main" objectType="Drop" dropStyle="combo" dx="16" fmlaLink="Лист1!$A$15" fmlaRange="Лист1!$D$16:$D$20" noThreeD="1" val="0"/>
</file>

<file path=xl/ctrlProps/ctrlProp6.xml><?xml version="1.0" encoding="utf-8"?>
<formControlPr xmlns="http://schemas.microsoft.com/office/spreadsheetml/2009/9/main" objectType="Drop" dropLines="14" dropStyle="combo" dx="16" fmlaLink="Лист1!$A$48" fmlaRange="Лист1!$D$50:$D$62" noThreeD="1" val="0"/>
</file>

<file path=xl/ctrlProps/ctrlProp7.xml><?xml version="1.0" encoding="utf-8"?>
<formControlPr xmlns="http://schemas.microsoft.com/office/spreadsheetml/2009/9/main" objectType="Drop" dropStyle="combo" dx="16" fmlaLink="Лист1!$A$65" fmlaRange="Лист1!$D$67:$D$71" noThreeD="1" val="0"/>
</file>

<file path=xl/ctrlProps/ctrlProp8.xml><?xml version="1.0" encoding="utf-8"?>
<formControlPr xmlns="http://schemas.microsoft.com/office/spreadsheetml/2009/9/main" objectType="Drop" dropStyle="combo" dx="16" fmlaLink="Лист1!$A$125" fmlaRange="Лист1!$D$127:$D$128" noThreeD="1" val="0"/>
</file>

<file path=xl/ctrlProps/ctrlProp9.xml><?xml version="1.0" encoding="utf-8"?>
<formControlPr xmlns="http://schemas.microsoft.com/office/spreadsheetml/2009/9/main" objectType="Drop" dropStyle="combo" dx="16" fmlaLink="Лист1!$A$107" fmlaRange="Лист1!$D$109:$D$110" noThreeD="1" val="0"/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hdphoto" Target="../media/hdphoto3.wdp"/><Relationship Id="rId13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5.png"/><Relationship Id="rId12" Type="http://schemas.microsoft.com/office/2007/relationships/hdphoto" Target="../media/hdphoto5.wdp"/><Relationship Id="rId17" Type="http://schemas.openxmlformats.org/officeDocument/2006/relationships/image" Target="../media/image11.png"/><Relationship Id="rId2" Type="http://schemas.openxmlformats.org/officeDocument/2006/relationships/image" Target="../media/image2.png"/><Relationship Id="rId16" Type="http://schemas.openxmlformats.org/officeDocument/2006/relationships/image" Target="../media/image10.png"/><Relationship Id="rId1" Type="http://schemas.openxmlformats.org/officeDocument/2006/relationships/image" Target="../media/image1.png"/><Relationship Id="rId6" Type="http://schemas.microsoft.com/office/2007/relationships/hdphoto" Target="../media/hdphoto2.wdp"/><Relationship Id="rId11" Type="http://schemas.openxmlformats.org/officeDocument/2006/relationships/image" Target="../media/image7.png"/><Relationship Id="rId5" Type="http://schemas.openxmlformats.org/officeDocument/2006/relationships/image" Target="../media/image4.png"/><Relationship Id="rId15" Type="http://schemas.microsoft.com/office/2007/relationships/hdphoto" Target="../media/hdphoto6.wdp"/><Relationship Id="rId10" Type="http://schemas.microsoft.com/office/2007/relationships/hdphoto" Target="../media/hdphoto4.wdp"/><Relationship Id="rId4" Type="http://schemas.microsoft.com/office/2007/relationships/hdphoto" Target="../media/hdphoto1.wdp"/><Relationship Id="rId9" Type="http://schemas.openxmlformats.org/officeDocument/2006/relationships/image" Target="../media/image6.png"/><Relationship Id="rId14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png"/><Relationship Id="rId7" Type="http://schemas.openxmlformats.org/officeDocument/2006/relationships/image" Target="../media/image18.png"/><Relationship Id="rId2" Type="http://schemas.openxmlformats.org/officeDocument/2006/relationships/image" Target="../media/image13.png"/><Relationship Id="rId1" Type="http://schemas.openxmlformats.org/officeDocument/2006/relationships/image" Target="../media/image12.png"/><Relationship Id="rId6" Type="http://schemas.openxmlformats.org/officeDocument/2006/relationships/image" Target="../media/image17.png"/><Relationship Id="rId5" Type="http://schemas.openxmlformats.org/officeDocument/2006/relationships/image" Target="../media/image16.png"/><Relationship Id="rId4" Type="http://schemas.openxmlformats.org/officeDocument/2006/relationships/image" Target="../media/image1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38</xdr:row>
          <xdr:rowOff>28575</xdr:rowOff>
        </xdr:from>
        <xdr:to>
          <xdr:col>8</xdr:col>
          <xdr:colOff>0</xdr:colOff>
          <xdr:row>38</xdr:row>
          <xdr:rowOff>295275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25</xdr:row>
          <xdr:rowOff>28575</xdr:rowOff>
        </xdr:from>
        <xdr:to>
          <xdr:col>8</xdr:col>
          <xdr:colOff>0</xdr:colOff>
          <xdr:row>25</xdr:row>
          <xdr:rowOff>285750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40</xdr:row>
          <xdr:rowOff>19050</xdr:rowOff>
        </xdr:from>
        <xdr:to>
          <xdr:col>8</xdr:col>
          <xdr:colOff>0</xdr:colOff>
          <xdr:row>40</xdr:row>
          <xdr:rowOff>276225</xdr:rowOff>
        </xdr:to>
        <xdr:sp macro="" textlink="">
          <xdr:nvSpPr>
            <xdr:cNvPr id="2060" name="Drop Down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46</xdr:row>
          <xdr:rowOff>28575</xdr:rowOff>
        </xdr:from>
        <xdr:to>
          <xdr:col>8</xdr:col>
          <xdr:colOff>0</xdr:colOff>
          <xdr:row>46</xdr:row>
          <xdr:rowOff>285750</xdr:rowOff>
        </xdr:to>
        <xdr:sp macro="" textlink="">
          <xdr:nvSpPr>
            <xdr:cNvPr id="2061" name="Drop Down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23</xdr:row>
          <xdr:rowOff>28575</xdr:rowOff>
        </xdr:from>
        <xdr:to>
          <xdr:col>7</xdr:col>
          <xdr:colOff>2895600</xdr:colOff>
          <xdr:row>23</xdr:row>
          <xdr:rowOff>295275</xdr:rowOff>
        </xdr:to>
        <xdr:sp macro="" textlink="">
          <xdr:nvSpPr>
            <xdr:cNvPr id="2104" name="Drop Down 56" hidden="1">
              <a:extLst>
                <a:ext uri="{63B3BB69-23CF-44E3-9099-C40C66FF867C}">
                  <a14:compatExt spid="_x0000_s2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31</xdr:row>
          <xdr:rowOff>38100</xdr:rowOff>
        </xdr:from>
        <xdr:to>
          <xdr:col>7</xdr:col>
          <xdr:colOff>2895600</xdr:colOff>
          <xdr:row>31</xdr:row>
          <xdr:rowOff>285750</xdr:rowOff>
        </xdr:to>
        <xdr:sp macro="" textlink="">
          <xdr:nvSpPr>
            <xdr:cNvPr id="2117" name="Drop Down 69" hidden="1">
              <a:extLst>
                <a:ext uri="{63B3BB69-23CF-44E3-9099-C40C66FF867C}">
                  <a14:compatExt spid="_x0000_s2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33</xdr:row>
          <xdr:rowOff>28575</xdr:rowOff>
        </xdr:from>
        <xdr:to>
          <xdr:col>7</xdr:col>
          <xdr:colOff>2895600</xdr:colOff>
          <xdr:row>33</xdr:row>
          <xdr:rowOff>285750</xdr:rowOff>
        </xdr:to>
        <xdr:sp macro="" textlink="">
          <xdr:nvSpPr>
            <xdr:cNvPr id="2119" name="Drop Down 71" hidden="1">
              <a:extLst>
                <a:ext uri="{63B3BB69-23CF-44E3-9099-C40C66FF867C}">
                  <a14:compatExt spid="_x0000_s2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48</xdr:row>
          <xdr:rowOff>28575</xdr:rowOff>
        </xdr:from>
        <xdr:to>
          <xdr:col>8</xdr:col>
          <xdr:colOff>0</xdr:colOff>
          <xdr:row>48</xdr:row>
          <xdr:rowOff>285750</xdr:rowOff>
        </xdr:to>
        <xdr:sp macro="" textlink="">
          <xdr:nvSpPr>
            <xdr:cNvPr id="2125" name="Drop Down 77" hidden="1">
              <a:extLst>
                <a:ext uri="{63B3BB69-23CF-44E3-9099-C40C66FF867C}">
                  <a14:compatExt spid="_x0000_s2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42</xdr:row>
          <xdr:rowOff>19050</xdr:rowOff>
        </xdr:from>
        <xdr:to>
          <xdr:col>8</xdr:col>
          <xdr:colOff>0</xdr:colOff>
          <xdr:row>42</xdr:row>
          <xdr:rowOff>276225</xdr:rowOff>
        </xdr:to>
        <xdr:sp macro="" textlink="">
          <xdr:nvSpPr>
            <xdr:cNvPr id="2140" name="Drop Down 92" hidden="1">
              <a:extLst>
                <a:ext uri="{63B3BB69-23CF-44E3-9099-C40C66FF867C}">
                  <a14:compatExt spid="_x0000_s2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44</xdr:row>
          <xdr:rowOff>28575</xdr:rowOff>
        </xdr:from>
        <xdr:to>
          <xdr:col>8</xdr:col>
          <xdr:colOff>0</xdr:colOff>
          <xdr:row>44</xdr:row>
          <xdr:rowOff>285750</xdr:rowOff>
        </xdr:to>
        <xdr:sp macro="" textlink="">
          <xdr:nvSpPr>
            <xdr:cNvPr id="2141" name="Drop Down 93" hidden="1">
              <a:extLst>
                <a:ext uri="{63B3BB69-23CF-44E3-9099-C40C66FF867C}">
                  <a14:compatExt spid="_x0000_s2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27</xdr:row>
          <xdr:rowOff>66675</xdr:rowOff>
        </xdr:from>
        <xdr:to>
          <xdr:col>8</xdr:col>
          <xdr:colOff>0</xdr:colOff>
          <xdr:row>27</xdr:row>
          <xdr:rowOff>323850</xdr:rowOff>
        </xdr:to>
        <xdr:sp macro="" textlink="">
          <xdr:nvSpPr>
            <xdr:cNvPr id="2144" name="Drop Down 96" hidden="1">
              <a:extLst>
                <a:ext uri="{63B3BB69-23CF-44E3-9099-C40C66FF867C}">
                  <a14:compatExt spid="_x0000_s2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36</xdr:row>
          <xdr:rowOff>28575</xdr:rowOff>
        </xdr:from>
        <xdr:to>
          <xdr:col>8</xdr:col>
          <xdr:colOff>0</xdr:colOff>
          <xdr:row>36</xdr:row>
          <xdr:rowOff>285750</xdr:rowOff>
        </xdr:to>
        <xdr:sp macro="" textlink="">
          <xdr:nvSpPr>
            <xdr:cNvPr id="2151" name="Drop Down 103" hidden="1">
              <a:extLst>
                <a:ext uri="{63B3BB69-23CF-44E3-9099-C40C66FF867C}">
                  <a14:compatExt spid="_x0000_s2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29</xdr:row>
          <xdr:rowOff>19050</xdr:rowOff>
        </xdr:from>
        <xdr:to>
          <xdr:col>8</xdr:col>
          <xdr:colOff>0</xdr:colOff>
          <xdr:row>29</xdr:row>
          <xdr:rowOff>276225</xdr:rowOff>
        </xdr:to>
        <xdr:sp macro="" textlink="">
          <xdr:nvSpPr>
            <xdr:cNvPr id="2153" name="Drop Down 105" hidden="1">
              <a:extLst>
                <a:ext uri="{63B3BB69-23CF-44E3-9099-C40C66FF867C}">
                  <a14:compatExt spid="_x0000_s2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</xdr:row>
          <xdr:rowOff>28575</xdr:rowOff>
        </xdr:from>
        <xdr:to>
          <xdr:col>5</xdr:col>
          <xdr:colOff>400050</xdr:colOff>
          <xdr:row>4</xdr:row>
          <xdr:rowOff>9525</xdr:rowOff>
        </xdr:to>
        <xdr:sp macro="" textlink="">
          <xdr:nvSpPr>
            <xdr:cNvPr id="2156" name="Option Button 108" hidden="1">
              <a:extLst>
                <a:ext uri="{63B3BB69-23CF-44E3-9099-C40C66FF867C}">
                  <a14:compatExt spid="_x0000_s2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5</xdr:row>
          <xdr:rowOff>28575</xdr:rowOff>
        </xdr:from>
        <xdr:to>
          <xdr:col>5</xdr:col>
          <xdr:colOff>400050</xdr:colOff>
          <xdr:row>6</xdr:row>
          <xdr:rowOff>9525</xdr:rowOff>
        </xdr:to>
        <xdr:sp macro="" textlink="">
          <xdr:nvSpPr>
            <xdr:cNvPr id="2157" name="Option Button 109" hidden="1">
              <a:extLst>
                <a:ext uri="{63B3BB69-23CF-44E3-9099-C40C66FF867C}">
                  <a14:compatExt spid="_x0000_s2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7</xdr:row>
          <xdr:rowOff>28575</xdr:rowOff>
        </xdr:from>
        <xdr:to>
          <xdr:col>5</xdr:col>
          <xdr:colOff>400050</xdr:colOff>
          <xdr:row>8</xdr:row>
          <xdr:rowOff>9525</xdr:rowOff>
        </xdr:to>
        <xdr:sp macro="" textlink="">
          <xdr:nvSpPr>
            <xdr:cNvPr id="2158" name="Option Button 110" hidden="1">
              <a:extLst>
                <a:ext uri="{63B3BB69-23CF-44E3-9099-C40C66FF867C}">
                  <a14:compatExt spid="_x0000_s2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9</xdr:row>
          <xdr:rowOff>28575</xdr:rowOff>
        </xdr:from>
        <xdr:to>
          <xdr:col>5</xdr:col>
          <xdr:colOff>400050</xdr:colOff>
          <xdr:row>10</xdr:row>
          <xdr:rowOff>9525</xdr:rowOff>
        </xdr:to>
        <xdr:sp macro="" textlink="">
          <xdr:nvSpPr>
            <xdr:cNvPr id="2159" name="Option Button 111" hidden="1">
              <a:extLst>
                <a:ext uri="{63B3BB69-23CF-44E3-9099-C40C66FF867C}">
                  <a14:compatExt spid="_x0000_s2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11</xdr:row>
          <xdr:rowOff>28575</xdr:rowOff>
        </xdr:from>
        <xdr:to>
          <xdr:col>5</xdr:col>
          <xdr:colOff>400050</xdr:colOff>
          <xdr:row>12</xdr:row>
          <xdr:rowOff>9525</xdr:rowOff>
        </xdr:to>
        <xdr:sp macro="" textlink="">
          <xdr:nvSpPr>
            <xdr:cNvPr id="2160" name="Option Button 112" hidden="1">
              <a:extLst>
                <a:ext uri="{63B3BB69-23CF-44E3-9099-C40C66FF867C}">
                  <a14:compatExt spid="_x0000_s2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13</xdr:row>
          <xdr:rowOff>28575</xdr:rowOff>
        </xdr:from>
        <xdr:to>
          <xdr:col>5</xdr:col>
          <xdr:colOff>400050</xdr:colOff>
          <xdr:row>14</xdr:row>
          <xdr:rowOff>9525</xdr:rowOff>
        </xdr:to>
        <xdr:sp macro="" textlink="">
          <xdr:nvSpPr>
            <xdr:cNvPr id="2161" name="Option Button 113" hidden="1">
              <a:extLst>
                <a:ext uri="{63B3BB69-23CF-44E3-9099-C40C66FF867C}">
                  <a14:compatExt spid="_x0000_s21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15</xdr:row>
          <xdr:rowOff>28575</xdr:rowOff>
        </xdr:from>
        <xdr:to>
          <xdr:col>5</xdr:col>
          <xdr:colOff>400050</xdr:colOff>
          <xdr:row>16</xdr:row>
          <xdr:rowOff>9525</xdr:rowOff>
        </xdr:to>
        <xdr:sp macro="" textlink="">
          <xdr:nvSpPr>
            <xdr:cNvPr id="2162" name="Option Button 114" hidden="1">
              <a:extLst>
                <a:ext uri="{63B3BB69-23CF-44E3-9099-C40C66FF867C}">
                  <a14:compatExt spid="_x0000_s21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17</xdr:row>
          <xdr:rowOff>28575</xdr:rowOff>
        </xdr:from>
        <xdr:to>
          <xdr:col>5</xdr:col>
          <xdr:colOff>400050</xdr:colOff>
          <xdr:row>18</xdr:row>
          <xdr:rowOff>9525</xdr:rowOff>
        </xdr:to>
        <xdr:sp macro="" textlink="">
          <xdr:nvSpPr>
            <xdr:cNvPr id="2163" name="Option Button 115" hidden="1">
              <a:extLst>
                <a:ext uri="{63B3BB69-23CF-44E3-9099-C40C66FF867C}">
                  <a14:compatExt spid="_x0000_s2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19</xdr:row>
          <xdr:rowOff>38100</xdr:rowOff>
        </xdr:from>
        <xdr:to>
          <xdr:col>5</xdr:col>
          <xdr:colOff>390525</xdr:colOff>
          <xdr:row>19</xdr:row>
          <xdr:rowOff>257175</xdr:rowOff>
        </xdr:to>
        <xdr:sp macro="" textlink="">
          <xdr:nvSpPr>
            <xdr:cNvPr id="2164" name="Option Button 116" hidden="1">
              <a:extLst>
                <a:ext uri="{63B3BB69-23CF-44E3-9099-C40C66FF867C}">
                  <a14:compatExt spid="_x0000_s2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2</xdr:col>
      <xdr:colOff>57150</xdr:colOff>
      <xdr:row>4</xdr:row>
      <xdr:rowOff>38100</xdr:rowOff>
    </xdr:from>
    <xdr:to>
      <xdr:col>7</xdr:col>
      <xdr:colOff>200025</xdr:colOff>
      <xdr:row>4</xdr:row>
      <xdr:rowOff>2421380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1066800"/>
          <a:ext cx="4181475" cy="2383280"/>
        </a:xfrm>
        <a:prstGeom prst="rect">
          <a:avLst/>
        </a:prstGeom>
      </xdr:spPr>
    </xdr:pic>
    <xdr:clientData/>
  </xdr:twoCellAnchor>
  <xdr:twoCellAnchor>
    <xdr:from>
      <xdr:col>2</xdr:col>
      <xdr:colOff>38100</xdr:colOff>
      <xdr:row>6</xdr:row>
      <xdr:rowOff>47625</xdr:rowOff>
    </xdr:from>
    <xdr:to>
      <xdr:col>6</xdr:col>
      <xdr:colOff>1333500</xdr:colOff>
      <xdr:row>6</xdr:row>
      <xdr:rowOff>933450</xdr:rowOff>
    </xdr:to>
    <xdr:pic>
      <xdr:nvPicPr>
        <xdr:cNvPr id="52" name="Рисунок 51"/>
        <xdr:cNvPicPr preferRelativeResize="0"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7200" y="3800475"/>
          <a:ext cx="3505200" cy="885825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8</xdr:row>
      <xdr:rowOff>47625</xdr:rowOff>
    </xdr:from>
    <xdr:to>
      <xdr:col>6</xdr:col>
      <xdr:colOff>1314450</xdr:colOff>
      <xdr:row>8</xdr:row>
      <xdr:rowOff>1916931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saturation sat="0"/>
                  </a14:imgEffect>
                  <a14:imgEffect>
                    <a14:brightnessContrast contrast="-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66726" y="5038725"/>
          <a:ext cx="3486149" cy="1869306"/>
        </a:xfrm>
        <a:prstGeom prst="rect">
          <a:avLst/>
        </a:prstGeom>
      </xdr:spPr>
    </xdr:pic>
    <xdr:clientData/>
  </xdr:twoCellAnchor>
  <xdr:twoCellAnchor editAs="oneCell">
    <xdr:from>
      <xdr:col>2</xdr:col>
      <xdr:colOff>66676</xdr:colOff>
      <xdr:row>10</xdr:row>
      <xdr:rowOff>57151</xdr:rowOff>
    </xdr:from>
    <xdr:to>
      <xdr:col>7</xdr:col>
      <xdr:colOff>1336780</xdr:colOff>
      <xdr:row>10</xdr:row>
      <xdr:rowOff>1809751</xdr:rowOff>
    </xdr:to>
    <xdr:pic>
      <xdr:nvPicPr>
        <xdr:cNvPr id="14" name="Рисунок 13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saturation sat="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85776" y="7239001"/>
          <a:ext cx="5308704" cy="1752600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12</xdr:row>
      <xdr:rowOff>38100</xdr:rowOff>
    </xdr:from>
    <xdr:to>
      <xdr:col>7</xdr:col>
      <xdr:colOff>1114425</xdr:colOff>
      <xdr:row>12</xdr:row>
      <xdr:rowOff>2399095</xdr:rowOff>
    </xdr:to>
    <xdr:pic>
      <xdr:nvPicPr>
        <xdr:cNvPr id="15" name="Рисунок 14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BEBA8EAE-BF5A-486C-A8C5-ECC9F3942E4B}">
              <a14:imgProps xmlns:a14="http://schemas.microsoft.com/office/drawing/2010/main">
                <a14:imgLayer r:embed="rId8">
                  <a14:imgEffect>
                    <a14:saturation sat="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66726" y="9286875"/>
          <a:ext cx="5105399" cy="2360995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16</xdr:row>
      <xdr:rowOff>57150</xdr:rowOff>
    </xdr:from>
    <xdr:to>
      <xdr:col>6</xdr:col>
      <xdr:colOff>1504951</xdr:colOff>
      <xdr:row>16</xdr:row>
      <xdr:rowOff>919275</xdr:rowOff>
    </xdr:to>
    <xdr:pic>
      <xdr:nvPicPr>
        <xdr:cNvPr id="57" name="Рисунок 56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BEBA8EAE-BF5A-486C-A8C5-ECC9F3942E4B}">
              <a14:imgProps xmlns:a14="http://schemas.microsoft.com/office/drawing/2010/main">
                <a14:imgLayer r:embed="rId10">
                  <a14:imgEffect>
                    <a14:saturation sat="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76250" y="13954125"/>
          <a:ext cx="3667126" cy="862125"/>
        </a:xfrm>
        <a:prstGeom prst="rect">
          <a:avLst/>
        </a:prstGeom>
      </xdr:spPr>
    </xdr:pic>
    <xdr:clientData/>
  </xdr:twoCellAnchor>
  <xdr:twoCellAnchor>
    <xdr:from>
      <xdr:col>6</xdr:col>
      <xdr:colOff>504826</xdr:colOff>
      <xdr:row>18</xdr:row>
      <xdr:rowOff>104776</xdr:rowOff>
    </xdr:from>
    <xdr:to>
      <xdr:col>7</xdr:col>
      <xdr:colOff>2667001</xdr:colOff>
      <xdr:row>18</xdr:row>
      <xdr:rowOff>2105025</xdr:rowOff>
    </xdr:to>
    <xdr:grpSp>
      <xdr:nvGrpSpPr>
        <xdr:cNvPr id="19" name="Группа 18"/>
        <xdr:cNvGrpSpPr/>
      </xdr:nvGrpSpPr>
      <xdr:grpSpPr>
        <a:xfrm>
          <a:off x="3143251" y="17183101"/>
          <a:ext cx="3981450" cy="2000249"/>
          <a:chOff x="457200" y="15173325"/>
          <a:chExt cx="5630580" cy="2363229"/>
        </a:xfrm>
      </xdr:grpSpPr>
      <xdr:pic>
        <xdr:nvPicPr>
          <xdr:cNvPr id="18" name="Рисунок 17"/>
          <xdr:cNvPicPr>
            <a:picLocks noChangeAspect="1"/>
          </xdr:cNvPicPr>
        </xdr:nvPicPr>
        <xdr:blipFill>
          <a:blip xmlns:r="http://schemas.openxmlformats.org/officeDocument/2006/relationships" r:embed="rId11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BEBA8EAE-BF5A-486C-A8C5-ECC9F3942E4B}">
                <a14:imgProps xmlns:a14="http://schemas.microsoft.com/office/drawing/2010/main">
                  <a14:imgLayer r:embed="rId12">
                    <a14:imgEffect>
                      <a14:brightnessContrast bright="20000"/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>
            <a:off x="2809875" y="15173325"/>
            <a:ext cx="3277905" cy="2363229"/>
          </a:xfrm>
          <a:prstGeom prst="rect">
            <a:avLst/>
          </a:prstGeom>
        </xdr:spPr>
      </xdr:pic>
      <xdr:pic>
        <xdr:nvPicPr>
          <xdr:cNvPr id="17" name="Рисунок 16"/>
          <xdr:cNvPicPr>
            <a:picLocks noChangeAspect="1"/>
          </xdr:cNvPicPr>
        </xdr:nvPicPr>
        <xdr:blipFill>
          <a:blip xmlns:r="http://schemas.openxmlformats.org/officeDocument/2006/relationships" r:embed="rId13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457200" y="15173326"/>
            <a:ext cx="3085065" cy="1943099"/>
          </a:xfrm>
          <a:prstGeom prst="rect">
            <a:avLst/>
          </a:prstGeom>
        </xdr:spPr>
      </xdr:pic>
    </xdr:grpSp>
    <xdr:clientData/>
  </xdr:twoCellAnchor>
  <xdr:twoCellAnchor editAs="oneCell">
    <xdr:from>
      <xdr:col>2</xdr:col>
      <xdr:colOff>47625</xdr:colOff>
      <xdr:row>18</xdr:row>
      <xdr:rowOff>359828</xdr:rowOff>
    </xdr:from>
    <xdr:to>
      <xdr:col>5</xdr:col>
      <xdr:colOff>382103</xdr:colOff>
      <xdr:row>18</xdr:row>
      <xdr:rowOff>1895476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15">
                  <a14:imgEffect>
                    <a14:saturation sat="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66725" y="15495053"/>
          <a:ext cx="2096603" cy="153564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21</xdr:row>
          <xdr:rowOff>9525</xdr:rowOff>
        </xdr:from>
        <xdr:to>
          <xdr:col>8</xdr:col>
          <xdr:colOff>0</xdr:colOff>
          <xdr:row>21</xdr:row>
          <xdr:rowOff>266700</xdr:rowOff>
        </xdr:to>
        <xdr:sp macro="" textlink="">
          <xdr:nvSpPr>
            <xdr:cNvPr id="2165" name="Drop Down 117" hidden="1">
              <a:extLst>
                <a:ext uri="{63B3BB69-23CF-44E3-9099-C40C66FF867C}">
                  <a14:compatExt spid="_x0000_s21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2</xdr:col>
      <xdr:colOff>95250</xdr:colOff>
      <xdr:row>14</xdr:row>
      <xdr:rowOff>76956</xdr:rowOff>
    </xdr:from>
    <xdr:to>
      <xdr:col>6</xdr:col>
      <xdr:colOff>1739762</xdr:colOff>
      <xdr:row>14</xdr:row>
      <xdr:rowOff>2311677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14350" y="12221331"/>
          <a:ext cx="3863837" cy="2234721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14</xdr:row>
      <xdr:rowOff>2374781</xdr:rowOff>
    </xdr:from>
    <xdr:to>
      <xdr:col>6</xdr:col>
      <xdr:colOff>1190625</xdr:colOff>
      <xdr:row>14</xdr:row>
      <xdr:rowOff>3409264</xdr:rowOff>
    </xdr:to>
    <xdr:pic>
      <xdr:nvPicPr>
        <xdr:cNvPr id="8" name="Рисунок 7"/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23876" y="14519156"/>
          <a:ext cx="3305174" cy="10344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6</xdr:row>
      <xdr:rowOff>219075</xdr:rowOff>
    </xdr:from>
    <xdr:to>
      <xdr:col>2</xdr:col>
      <xdr:colOff>2311284</xdr:colOff>
      <xdr:row>6</xdr:row>
      <xdr:rowOff>1724025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942975"/>
          <a:ext cx="2244609" cy="1504950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9</xdr:row>
      <xdr:rowOff>38102</xdr:rowOff>
    </xdr:from>
    <xdr:to>
      <xdr:col>4</xdr:col>
      <xdr:colOff>1508722</xdr:colOff>
      <xdr:row>9</xdr:row>
      <xdr:rowOff>1685926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6750" y="5619752"/>
          <a:ext cx="4166197" cy="1647824"/>
        </a:xfrm>
        <a:prstGeom prst="rect">
          <a:avLst/>
        </a:prstGeom>
      </xdr:spPr>
    </xdr:pic>
    <xdr:clientData/>
  </xdr:twoCellAnchor>
  <xdr:twoCellAnchor editAs="oneCell">
    <xdr:from>
      <xdr:col>1</xdr:col>
      <xdr:colOff>371475</xdr:colOff>
      <xdr:row>13</xdr:row>
      <xdr:rowOff>2019300</xdr:rowOff>
    </xdr:from>
    <xdr:to>
      <xdr:col>2</xdr:col>
      <xdr:colOff>596</xdr:colOff>
      <xdr:row>14</xdr:row>
      <xdr:rowOff>1</xdr:rowOff>
    </xdr:to>
    <xdr:pic>
      <xdr:nvPicPr>
        <xdr:cNvPr id="11" name="Рисунок 10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0" y="2505075"/>
          <a:ext cx="1438871" cy="3105149"/>
        </a:xfrm>
        <a:prstGeom prst="rect">
          <a:avLst/>
        </a:prstGeom>
      </xdr:spPr>
    </xdr:pic>
    <xdr:clientData/>
  </xdr:twoCellAnchor>
  <xdr:twoCellAnchor editAs="oneCell">
    <xdr:from>
      <xdr:col>2</xdr:col>
      <xdr:colOff>438150</xdr:colOff>
      <xdr:row>13</xdr:row>
      <xdr:rowOff>1981200</xdr:rowOff>
    </xdr:from>
    <xdr:to>
      <xdr:col>2</xdr:col>
      <xdr:colOff>1877021</xdr:colOff>
      <xdr:row>13</xdr:row>
      <xdr:rowOff>5086349</xdr:rowOff>
    </xdr:to>
    <xdr:pic>
      <xdr:nvPicPr>
        <xdr:cNvPr id="13" name="Рисунок 1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47750" y="9829800"/>
          <a:ext cx="1438871" cy="3105149"/>
        </a:xfrm>
        <a:prstGeom prst="rect">
          <a:avLst/>
        </a:prstGeom>
      </xdr:spPr>
    </xdr:pic>
    <xdr:clientData/>
  </xdr:twoCellAnchor>
  <xdr:twoCellAnchor editAs="oneCell">
    <xdr:from>
      <xdr:col>4</xdr:col>
      <xdr:colOff>771525</xdr:colOff>
      <xdr:row>13</xdr:row>
      <xdr:rowOff>1981200</xdr:rowOff>
    </xdr:from>
    <xdr:to>
      <xdr:col>4</xdr:col>
      <xdr:colOff>2541272</xdr:colOff>
      <xdr:row>13</xdr:row>
      <xdr:rowOff>5057774</xdr:rowOff>
    </xdr:to>
    <xdr:pic>
      <xdr:nvPicPr>
        <xdr:cNvPr id="14" name="Рисунок 13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095750" y="9829800"/>
          <a:ext cx="1769747" cy="3076574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13</xdr:row>
      <xdr:rowOff>66675</xdr:rowOff>
    </xdr:from>
    <xdr:to>
      <xdr:col>2</xdr:col>
      <xdr:colOff>2340310</xdr:colOff>
      <xdr:row>13</xdr:row>
      <xdr:rowOff>1933575</xdr:rowOff>
    </xdr:to>
    <xdr:pic>
      <xdr:nvPicPr>
        <xdr:cNvPr id="15" name="Рисунок 1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57225" y="7915275"/>
          <a:ext cx="2292685" cy="1866900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</xdr:colOff>
      <xdr:row>13</xdr:row>
      <xdr:rowOff>85725</xdr:rowOff>
    </xdr:from>
    <xdr:to>
      <xdr:col>4</xdr:col>
      <xdr:colOff>2863381</xdr:colOff>
      <xdr:row>13</xdr:row>
      <xdr:rowOff>1990725</xdr:rowOff>
    </xdr:to>
    <xdr:pic>
      <xdr:nvPicPr>
        <xdr:cNvPr id="16" name="Рисунок 15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371850" y="7934325"/>
          <a:ext cx="2815756" cy="1905000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3</xdr:row>
      <xdr:rowOff>95251</xdr:rowOff>
    </xdr:from>
    <xdr:to>
      <xdr:col>4</xdr:col>
      <xdr:colOff>3114675</xdr:colOff>
      <xdr:row>3</xdr:row>
      <xdr:rowOff>2019301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66750" y="781051"/>
          <a:ext cx="5772150" cy="1924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Projects/A8x5/Doc/A835%20&#1058;&#1077;&#1088;&#1084;&#1086;&#1084;&#1072;&#1085;&#1086;&#1084;&#1077;&#1090;&#1088;.&#1054;&#1087;&#1088;&#1086;&#1089;&#1085;&#1099;&#1081;%20&#1083;&#1080;&#1089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просный лист термоманометр"/>
      <sheetName val="Справка"/>
      <sheetName val="Лист1"/>
    </sheetNames>
    <sheetDataSet>
      <sheetData sheetId="0">
        <row r="4">
          <cell r="L4">
            <v>0.6</v>
          </cell>
        </row>
        <row r="5">
          <cell r="L5">
            <v>1</v>
          </cell>
        </row>
        <row r="6">
          <cell r="L6">
            <v>1.6</v>
          </cell>
        </row>
        <row r="7">
          <cell r="L7">
            <v>2.5</v>
          </cell>
        </row>
        <row r="8">
          <cell r="L8">
            <v>4</v>
          </cell>
        </row>
        <row r="9">
          <cell r="L9">
            <v>6</v>
          </cell>
        </row>
        <row r="10">
          <cell r="L10">
            <v>10</v>
          </cell>
        </row>
        <row r="11">
          <cell r="L11">
            <v>16</v>
          </cell>
        </row>
        <row r="12">
          <cell r="L12">
            <v>25</v>
          </cell>
        </row>
        <row r="13">
          <cell r="L13">
            <v>40</v>
          </cell>
        </row>
        <row r="14">
          <cell r="L14">
            <v>60</v>
          </cell>
        </row>
        <row r="15">
          <cell r="L15" t="str">
            <v>другое</v>
          </cell>
        </row>
        <row r="17">
          <cell r="L17">
            <v>0.15</v>
          </cell>
        </row>
        <row r="18">
          <cell r="L18">
            <v>0.25</v>
          </cell>
        </row>
        <row r="19">
          <cell r="L19">
            <v>0.5</v>
          </cell>
        </row>
        <row r="20">
          <cell r="L20">
            <v>1</v>
          </cell>
        </row>
        <row r="21">
          <cell r="L21">
            <v>1.5</v>
          </cell>
        </row>
        <row r="22">
          <cell r="L22" t="str">
            <v>другое</v>
          </cell>
        </row>
        <row r="24">
          <cell r="I24">
            <v>1</v>
          </cell>
        </row>
        <row r="25">
          <cell r="L25" t="str">
            <v>корпус датчика</v>
          </cell>
        </row>
        <row r="26">
          <cell r="L26" t="str">
            <v>встроенный погружной термощуп (жидкость или газ)</v>
          </cell>
        </row>
        <row r="27">
          <cell r="L27" t="str">
            <v>выносной погружной термощуп (жидкость или газ)</v>
          </cell>
        </row>
        <row r="30">
          <cell r="L30" t="str">
            <v xml:space="preserve"> -40..+85</v>
          </cell>
          <cell r="M30" t="str">
            <v xml:space="preserve"> -40..+85</v>
          </cell>
          <cell r="N30" t="str">
            <v xml:space="preserve"> -40..+85</v>
          </cell>
        </row>
        <row r="31">
          <cell r="N31" t="str">
            <v xml:space="preserve"> -40..+125</v>
          </cell>
        </row>
        <row r="32">
          <cell r="N32" t="str">
            <v xml:space="preserve"> -40..+250</v>
          </cell>
        </row>
        <row r="33">
          <cell r="N33" t="str">
            <v xml:space="preserve"> -40..+300</v>
          </cell>
        </row>
        <row r="34">
          <cell r="N34" t="str">
            <v>другое</v>
          </cell>
        </row>
        <row r="36">
          <cell r="L36">
            <v>0.5</v>
          </cell>
          <cell r="M36">
            <v>0.5</v>
          </cell>
          <cell r="N36">
            <v>2</v>
          </cell>
        </row>
        <row r="37">
          <cell r="L37">
            <v>1</v>
          </cell>
          <cell r="M37">
            <v>1</v>
          </cell>
          <cell r="N37">
            <v>1</v>
          </cell>
        </row>
        <row r="38">
          <cell r="L38">
            <v>2</v>
          </cell>
          <cell r="M38">
            <v>2</v>
          </cell>
          <cell r="N38" t="str">
            <v>0.5</v>
          </cell>
        </row>
        <row r="40">
          <cell r="M40">
            <v>46</v>
          </cell>
          <cell r="N40">
            <v>46</v>
          </cell>
        </row>
        <row r="41">
          <cell r="M41">
            <v>64</v>
          </cell>
          <cell r="N41">
            <v>64</v>
          </cell>
        </row>
        <row r="42">
          <cell r="M42">
            <v>100</v>
          </cell>
          <cell r="N42">
            <v>100</v>
          </cell>
        </row>
        <row r="43">
          <cell r="M43" t="str">
            <v>другая</v>
          </cell>
          <cell r="N43" t="str">
            <v>другая</v>
          </cell>
        </row>
        <row r="45">
          <cell r="M45">
            <v>5</v>
          </cell>
          <cell r="N45">
            <v>5</v>
          </cell>
        </row>
        <row r="46">
          <cell r="M46">
            <v>6</v>
          </cell>
          <cell r="N46">
            <v>6</v>
          </cell>
        </row>
        <row r="47">
          <cell r="M47">
            <v>8</v>
          </cell>
          <cell r="N47">
            <v>8</v>
          </cell>
        </row>
        <row r="48">
          <cell r="M48">
            <v>10</v>
          </cell>
          <cell r="N48">
            <v>10</v>
          </cell>
        </row>
        <row r="49">
          <cell r="M49" t="str">
            <v>другой</v>
          </cell>
          <cell r="N49" t="str">
            <v>другой</v>
          </cell>
        </row>
        <row r="51">
          <cell r="N51" t="str">
            <v>штуцер подвижный</v>
          </cell>
        </row>
        <row r="52">
          <cell r="N52" t="str">
            <v>штуцер приварной</v>
          </cell>
        </row>
        <row r="53">
          <cell r="N53" t="str">
            <v>штуцер подпружиненный</v>
          </cell>
        </row>
        <row r="54">
          <cell r="N54" t="str">
            <v>фланец</v>
          </cell>
        </row>
        <row r="55">
          <cell r="N55" t="str">
            <v>другой</v>
          </cell>
        </row>
        <row r="57">
          <cell r="N57" t="str">
            <v>бескорпусной с выводами</v>
          </cell>
        </row>
        <row r="58">
          <cell r="N58" t="str">
            <v>коммутационная (клеммная) головка</v>
          </cell>
        </row>
        <row r="59">
          <cell r="N59" t="str">
            <v>другой</v>
          </cell>
        </row>
        <row r="61">
          <cell r="N61">
            <v>1</v>
          </cell>
        </row>
        <row r="62">
          <cell r="N62">
            <v>1.5</v>
          </cell>
        </row>
        <row r="63">
          <cell r="N63">
            <v>2</v>
          </cell>
        </row>
        <row r="64">
          <cell r="N64">
            <v>2.5</v>
          </cell>
        </row>
        <row r="65">
          <cell r="N65">
            <v>3</v>
          </cell>
        </row>
        <row r="66">
          <cell r="N66">
            <v>4</v>
          </cell>
        </row>
        <row r="67">
          <cell r="N67">
            <v>5</v>
          </cell>
        </row>
        <row r="68">
          <cell r="N68">
            <v>7</v>
          </cell>
        </row>
        <row r="69">
          <cell r="N69">
            <v>10</v>
          </cell>
        </row>
        <row r="71">
          <cell r="N71" t="str">
            <v>без дополнительной защиты</v>
          </cell>
        </row>
        <row r="72">
          <cell r="N72" t="str">
            <v>труба гофрированная полимерная</v>
          </cell>
        </row>
        <row r="73">
          <cell r="N73" t="str">
            <v xml:space="preserve">другая </v>
          </cell>
        </row>
        <row r="75">
          <cell r="M75" t="str">
            <v>не требуется</v>
          </cell>
          <cell r="N75" t="str">
            <v>не требуется</v>
          </cell>
        </row>
        <row r="76">
          <cell r="M76" t="str">
            <v>М20х1.5</v>
          </cell>
          <cell r="N76" t="str">
            <v>М20х1.5</v>
          </cell>
        </row>
        <row r="77">
          <cell r="M77" t="str">
            <v>G1/2</v>
          </cell>
          <cell r="N77" t="str">
            <v>G1/2</v>
          </cell>
        </row>
        <row r="78">
          <cell r="M78" t="str">
            <v>другая</v>
          </cell>
          <cell r="N78" t="str">
            <v>другая</v>
          </cell>
        </row>
        <row r="80">
          <cell r="L80" t="str">
            <v>LoRaWAN</v>
          </cell>
        </row>
        <row r="81">
          <cell r="L81" t="str">
            <v>нет</v>
          </cell>
        </row>
        <row r="87">
          <cell r="L87" t="str">
            <v>обычное</v>
          </cell>
        </row>
        <row r="88">
          <cell r="L88" t="str">
            <v>коррозионно-стойкое</v>
          </cell>
        </row>
        <row r="90">
          <cell r="L90" t="str">
            <v>М20х1.5</v>
          </cell>
        </row>
        <row r="91">
          <cell r="L91" t="str">
            <v>G1/2</v>
          </cell>
        </row>
        <row r="92">
          <cell r="L92" t="str">
            <v>другая</v>
          </cell>
        </row>
        <row r="94">
          <cell r="L94" t="str">
            <v>не требуется</v>
          </cell>
        </row>
        <row r="95">
          <cell r="L95" t="str">
            <v>кронштейн Г-образный</v>
          </cell>
        </row>
        <row r="96">
          <cell r="L96" t="str">
            <v>отвод-охладитель</v>
          </cell>
        </row>
        <row r="97">
          <cell r="L97" t="str">
            <v>клапан, отвод-охладитель</v>
          </cell>
        </row>
        <row r="98">
          <cell r="L98" t="str">
            <v>блок вентильный, гильза защитная</v>
          </cell>
        </row>
        <row r="99">
          <cell r="L99" t="str">
            <v>другая</v>
          </cell>
        </row>
        <row r="101">
          <cell r="L101" t="str">
            <v>не требуется</v>
          </cell>
        </row>
        <row r="102">
          <cell r="L102" t="str">
            <v>требуется</v>
          </cell>
        </row>
      </sheetData>
      <sheetData sheetId="1"/>
      <sheetData sheetId="2"/>
    </sheetDataSet>
  </externalBook>
</externalLink>
</file>

<file path=xl/tables/table1.xml><?xml version="1.0" encoding="utf-8"?>
<table xmlns="http://schemas.openxmlformats.org/spreadsheetml/2006/main" id="2" name="Таблица2" displayName="Таблица2" ref="D49:D62" totalsRowShown="0" tableBorderDxfId="34">
  <autoFilter ref="D49:D62"/>
  <tableColumns count="1">
    <tableColumn id="1" name="Столбец1" dataDxfId="33">
      <calculatedColumnFormula>OFFSET(G50,0,$F$34-1,,)</calculatedColumnFormula>
    </tableColumn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id="5" name="Таблица5" displayName="Таблица5" ref="D113:E116" totalsRowShown="0">
  <autoFilter ref="D113:E116"/>
  <tableColumns count="2">
    <tableColumn id="1" name="Столбец1"/>
    <tableColumn id="2" name="Столбец2"/>
  </tableColumns>
  <tableStyleInfo name="TableStyleLight15" showFirstColumn="0" showLastColumn="0" showRowStripes="1" showColumnStripes="0"/>
</table>
</file>

<file path=xl/tables/table11.xml><?xml version="1.0" encoding="utf-8"?>
<table xmlns="http://schemas.openxmlformats.org/spreadsheetml/2006/main" id="14" name="Таблица14" displayName="Таблица14" ref="D29:E31" totalsRowShown="0" headerRowDxfId="18" dataDxfId="17">
  <autoFilter ref="D29:E31"/>
  <tableColumns count="2">
    <tableColumn id="1" name="Столбец1" dataDxfId="16"/>
    <tableColumn id="2" name="Столбец2" dataDxfId="15"/>
  </tableColumns>
  <tableStyleInfo name="TableStyleLight15" showFirstColumn="0" showLastColumn="0" showRowStripes="1" showColumnStripes="0"/>
</table>
</file>

<file path=xl/tables/table12.xml><?xml version="1.0" encoding="utf-8"?>
<table xmlns="http://schemas.openxmlformats.org/spreadsheetml/2006/main" id="15" name="Таблица716" displayName="Таблица716" ref="D34:E36" totalsRowShown="0" headerRowDxfId="14" dataDxfId="13">
  <autoFilter ref="D34:E36"/>
  <tableColumns count="2">
    <tableColumn id="1" name="Столбец1" dataDxfId="12">
      <calculatedColumnFormula>OFFSET(G35,0,$F$34-1,,)</calculatedColumnFormula>
    </tableColumn>
    <tableColumn id="2" name="Столбец2" dataDxfId="11"/>
  </tableColumns>
  <tableStyleInfo name="TableStyleLight15" showFirstColumn="0" showLastColumn="0" showRowStripes="1" showColumnStripes="0"/>
</table>
</file>

<file path=xl/tables/table13.xml><?xml version="1.0" encoding="utf-8"?>
<table xmlns="http://schemas.openxmlformats.org/spreadsheetml/2006/main" id="16" name="Таблица317" displayName="Таблица317" ref="D40:E45" totalsRowShown="0">
  <autoFilter ref="D40:E45"/>
  <tableColumns count="2">
    <tableColumn id="1" name="Столбец1" dataDxfId="10">
      <calculatedColumnFormula>IF(B4="в виде гильзы под торцевое крепление","100","")</calculatedColumnFormula>
    </tableColumn>
    <tableColumn id="2" name="Столбец2" dataDxfId="9"/>
  </tableColumns>
  <tableStyleInfo name="TableStyleLight15" showFirstColumn="0" showLastColumn="0" showRowStripes="1" showColumnStripes="0"/>
</table>
</file>

<file path=xl/tables/table14.xml><?xml version="1.0" encoding="utf-8"?>
<table xmlns="http://schemas.openxmlformats.org/spreadsheetml/2006/main" id="7" name="Таблица7" displayName="Таблица7" ref="D118:E122" totalsRowShown="0" headerRowBorderDxfId="8" tableBorderDxfId="7" totalsRowBorderDxfId="6">
  <autoFilter ref="D118:E122"/>
  <tableColumns count="2">
    <tableColumn id="1" name="Столбец1"/>
    <tableColumn id="2" name="Столбец2"/>
  </tableColumns>
  <tableStyleInfo name="TableStyleLight15" showFirstColumn="0" showLastColumn="0" showRowStripes="1" showColumnStripes="0"/>
</table>
</file>

<file path=xl/tables/table15.xml><?xml version="1.0" encoding="utf-8"?>
<table xmlns="http://schemas.openxmlformats.org/spreadsheetml/2006/main" id="11" name="Таблица11" displayName="Таблица11" ref="D4:E13" totalsRowShown="0" tableBorderDxfId="5">
  <autoFilter ref="D4:E13"/>
  <tableColumns count="2">
    <tableColumn id="1" name="Столбец1" dataDxfId="4"/>
    <tableColumn id="2" name="Столбец2" dataDxfId="3"/>
  </tableColumns>
  <tableStyleInfo name="TableStyleLight15" showFirstColumn="0" showLastColumn="0" showRowStripes="1" showColumnStripes="0"/>
</table>
</file>

<file path=xl/tables/table16.xml><?xml version="1.0" encoding="utf-8"?>
<table xmlns="http://schemas.openxmlformats.org/spreadsheetml/2006/main" id="1" name="Таблица1" displayName="Таблица1" ref="D83:E86" totalsRowShown="0" dataDxfId="2">
  <autoFilter ref="D83:E86"/>
  <tableColumns count="2">
    <tableColumn id="1" name="Столбец1" dataDxfId="1"/>
    <tableColumn id="2" name="Столбец2" dataDxfId="0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id="3" name="Таблица3" displayName="Таблица3" ref="D66:D71" totalsRowShown="0">
  <autoFilter ref="D66:D71"/>
  <tableColumns count="1">
    <tableColumn id="1" name="Столбец1" dataDxfId="32">
      <calculatedColumnFormula>OFFSET(G67,0,$F$34-1,,)</calculatedColumnFormula>
    </tableColumn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id="4" name="Таблица4" displayName="Таблица4" ref="D15:D20" totalsRowShown="0">
  <autoFilter ref="D15:D20"/>
  <tableColumns count="1">
    <tableColumn id="1" name="Столбец1" dataDxfId="31">
      <calculatedColumnFormula>OFFSET(G16,0,A2)</calculatedColumnFormula>
    </tableColumn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id="6" name="Таблица6" displayName="Таблица6" ref="D23:D26" totalsRowShown="0">
  <autoFilter ref="D23:D26"/>
  <tableColumns count="1">
    <tableColumn id="1" name="Столбец1" dataDxfId="30">
      <calculatedColumnFormula>OFFSET(G24,0,A4-1)</calculatedColumnFormula>
    </tableColumn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id="8" name="Таблица8" displayName="Таблица8" ref="D90:E97" totalsRowShown="0" dataDxfId="29">
  <autoFilter ref="D90:E97"/>
  <tableColumns count="2">
    <tableColumn id="1" name="Столбец1" dataDxfId="28"/>
    <tableColumn id="2" name="Столбец2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id="9" name="Таблица9" displayName="Таблица9" ref="D100:E104" totalsRowShown="0">
  <autoFilter ref="D100:E104"/>
  <tableColumns count="2">
    <tableColumn id="1" name="Столбец1" dataDxfId="26">
      <calculatedColumnFormula>OFFSET(G100,0,$F$34-1,,)</calculatedColumnFormula>
    </tableColumn>
    <tableColumn id="3" name="Столбец2" dataDxfId="25">
      <calculatedColumnFormula>OFFSET(Q100,0,$F$34-1,,)</calculatedColumnFormula>
    </tableColumn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id="10" name="Таблица10" displayName="Таблица10" ref="D75:D79" totalsRowShown="0">
  <autoFilter ref="D75:D79"/>
  <tableColumns count="1">
    <tableColumn id="1" name="Столбец1" dataDxfId="24">
      <calculatedColumnFormula>OFFSET(G76,0,F33-1,,)</calculatedColumnFormula>
    </tableColumn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id="12" name="Таблица12" displayName="Таблица12" ref="D126:E128" totalsRowShown="0">
  <autoFilter ref="D126:E128"/>
  <tableColumns count="2">
    <tableColumn id="1" name="Столбец1" dataDxfId="23"/>
    <tableColumn id="2" name="Столбец2"/>
  </tableColumns>
  <tableStyleInfo name="TableStyleLight15" showFirstColumn="0" showLastColumn="0" showRowStripes="1" showColumnStripes="0"/>
</table>
</file>

<file path=xl/tables/table9.xml><?xml version="1.0" encoding="utf-8"?>
<table xmlns="http://schemas.openxmlformats.org/spreadsheetml/2006/main" id="13" name="Таблица214" displayName="Таблица214" ref="D108:E110" totalsRowShown="0" headerRowDxfId="22" dataDxfId="21">
  <autoFilter ref="D108:E110"/>
  <tableColumns count="2">
    <tableColumn id="1" name="Столбец1" dataDxfId="20"/>
    <tableColumn id="2" name="Столбец2" dataDxfId="19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outlinePr summaryBelow="0" summaryRight="0"/>
    <pageSetUpPr fitToPage="1"/>
  </sheetPr>
  <dimension ref="A1:O75"/>
  <sheetViews>
    <sheetView tabSelected="1" zoomScaleNormal="100" workbookViewId="0">
      <selection activeCell="M5" sqref="M5"/>
    </sheetView>
  </sheetViews>
  <sheetFormatPr defaultRowHeight="15.75" x14ac:dyDescent="0.25"/>
  <cols>
    <col min="1" max="1" width="2.7109375" customWidth="1"/>
    <col min="2" max="2" width="3.5703125" style="1" customWidth="1"/>
    <col min="3" max="3" width="12.7109375" customWidth="1"/>
    <col min="4" max="4" width="4.7109375" customWidth="1"/>
    <col min="5" max="5" width="9" customWidth="1"/>
    <col min="6" max="6" width="6.85546875" customWidth="1"/>
    <col min="7" max="7" width="27.28515625" customWidth="1"/>
    <col min="8" max="8" width="43.5703125" customWidth="1"/>
    <col min="9" max="9" width="1.7109375" customWidth="1"/>
    <col min="10" max="10" width="24.140625" style="92" customWidth="1"/>
    <col min="11" max="11" width="1.140625" style="92" customWidth="1"/>
    <col min="12" max="12" width="4.140625" style="2" customWidth="1"/>
    <col min="13" max="13" width="18.42578125" customWidth="1"/>
    <col min="14" max="15" width="19.7109375" customWidth="1"/>
    <col min="16" max="17" width="19.28515625" customWidth="1"/>
  </cols>
  <sheetData>
    <row r="1" spans="1:15" ht="15.75" customHeight="1" x14ac:dyDescent="0.2">
      <c r="A1" s="137"/>
      <c r="B1" s="137"/>
      <c r="C1" s="137"/>
      <c r="D1" s="137"/>
      <c r="E1" s="137"/>
      <c r="F1" s="137"/>
      <c r="G1" s="137"/>
      <c r="H1" s="137"/>
      <c r="I1" s="137"/>
      <c r="J1" s="104" t="s">
        <v>108</v>
      </c>
      <c r="K1" s="60"/>
    </row>
    <row r="2" spans="1:15" ht="46.5" customHeight="1" x14ac:dyDescent="0.25">
      <c r="A2" s="60"/>
      <c r="B2" s="60"/>
      <c r="C2" s="96" t="s">
        <v>33</v>
      </c>
      <c r="D2" s="96"/>
      <c r="E2" s="96"/>
      <c r="F2" s="96"/>
      <c r="G2" s="60"/>
      <c r="H2" s="60"/>
      <c r="I2" s="60"/>
      <c r="J2" s="97" t="s">
        <v>10</v>
      </c>
      <c r="K2" s="60"/>
    </row>
    <row r="3" spans="1:15" ht="15.75" customHeight="1" x14ac:dyDescent="0.25">
      <c r="A3" s="60"/>
      <c r="B3" s="139" t="s">
        <v>86</v>
      </c>
      <c r="C3" s="139"/>
      <c r="D3" s="139"/>
      <c r="E3" s="139"/>
      <c r="F3" s="139"/>
      <c r="G3" s="139"/>
      <c r="H3" s="60"/>
      <c r="I3" s="60"/>
      <c r="J3" s="97"/>
      <c r="K3" s="60"/>
    </row>
    <row r="4" spans="1:15" ht="18.75" customHeight="1" x14ac:dyDescent="0.25">
      <c r="A4" s="60"/>
      <c r="B4" s="60"/>
      <c r="C4" s="61" t="s">
        <v>26</v>
      </c>
      <c r="D4" s="61"/>
      <c r="E4" s="61"/>
      <c r="F4" s="61"/>
      <c r="G4" s="60"/>
      <c r="H4" s="60"/>
      <c r="I4" s="60"/>
      <c r="J4" s="97"/>
      <c r="K4" s="60"/>
    </row>
    <row r="5" spans="1:15" ht="195.75" customHeight="1" x14ac:dyDescent="0.25">
      <c r="A5" s="60"/>
      <c r="B5" s="60"/>
      <c r="C5" s="61"/>
      <c r="D5" s="61"/>
      <c r="E5" s="61"/>
      <c r="F5" s="61"/>
      <c r="G5" s="60"/>
      <c r="H5" s="60"/>
      <c r="I5" s="60"/>
      <c r="J5" s="97"/>
      <c r="K5" s="60"/>
    </row>
    <row r="6" spans="1:15" ht="18.75" customHeight="1" x14ac:dyDescent="0.25">
      <c r="A6" s="60"/>
      <c r="B6" s="60"/>
      <c r="C6" s="61" t="s">
        <v>41</v>
      </c>
      <c r="D6" s="61"/>
      <c r="E6" s="61"/>
      <c r="F6" s="61"/>
      <c r="G6" s="60"/>
      <c r="H6" s="60"/>
      <c r="I6" s="60"/>
      <c r="J6" s="97"/>
      <c r="K6" s="60"/>
    </row>
    <row r="7" spans="1:15" ht="78.75" customHeight="1" x14ac:dyDescent="0.25">
      <c r="A7" s="60"/>
      <c r="B7" s="60"/>
      <c r="C7" s="61"/>
      <c r="D7" s="61"/>
      <c r="E7" s="61"/>
      <c r="F7" s="61"/>
      <c r="G7" s="60"/>
      <c r="H7" s="60"/>
      <c r="I7" s="60"/>
      <c r="J7" s="97"/>
      <c r="K7" s="60"/>
    </row>
    <row r="8" spans="1:15" ht="18.75" customHeight="1" x14ac:dyDescent="0.25">
      <c r="A8" s="60"/>
      <c r="B8" s="60"/>
      <c r="C8" s="61" t="s">
        <v>27</v>
      </c>
      <c r="D8" s="61"/>
      <c r="E8" s="61"/>
      <c r="F8" s="61"/>
      <c r="G8" s="60"/>
      <c r="H8" s="60"/>
      <c r="I8" s="60"/>
      <c r="J8" s="97"/>
      <c r="K8" s="60"/>
    </row>
    <row r="9" spans="1:15" ht="153.75" customHeight="1" x14ac:dyDescent="0.25">
      <c r="A9" s="60"/>
      <c r="B9" s="60"/>
      <c r="C9" s="61"/>
      <c r="D9" s="61"/>
      <c r="E9" s="61"/>
      <c r="F9" s="61"/>
      <c r="G9" s="60"/>
      <c r="H9" s="60"/>
      <c r="I9" s="60"/>
      <c r="J9" s="97"/>
      <c r="K9" s="60"/>
    </row>
    <row r="10" spans="1:15" ht="18.75" customHeight="1" x14ac:dyDescent="0.25">
      <c r="A10" s="60"/>
      <c r="B10" s="60"/>
      <c r="C10" s="61" t="s">
        <v>28</v>
      </c>
      <c r="D10" s="61"/>
      <c r="E10" s="61"/>
      <c r="F10" s="61"/>
      <c r="G10" s="60"/>
      <c r="H10" s="60"/>
      <c r="I10" s="60"/>
      <c r="J10" s="97"/>
      <c r="K10" s="60"/>
    </row>
    <row r="11" spans="1:15" ht="144" customHeight="1" x14ac:dyDescent="0.25">
      <c r="A11" s="60"/>
      <c r="B11" s="60"/>
      <c r="C11" s="61"/>
      <c r="D11" s="61"/>
      <c r="E11" s="61"/>
      <c r="F11" s="61"/>
      <c r="G11" s="60"/>
      <c r="H11" s="60"/>
      <c r="I11" s="60"/>
      <c r="J11" s="97"/>
      <c r="K11" s="60"/>
    </row>
    <row r="12" spans="1:15" ht="18.75" customHeight="1" x14ac:dyDescent="0.25">
      <c r="A12" s="60"/>
      <c r="B12" s="60"/>
      <c r="C12" s="61" t="s">
        <v>29</v>
      </c>
      <c r="D12" s="61"/>
      <c r="E12" s="61"/>
      <c r="F12" s="61"/>
      <c r="G12" s="60"/>
      <c r="H12" s="60"/>
      <c r="I12" s="60"/>
      <c r="J12" s="97"/>
      <c r="K12" s="60"/>
    </row>
    <row r="13" spans="1:15" ht="193.5" customHeight="1" x14ac:dyDescent="0.25">
      <c r="A13" s="60"/>
      <c r="B13" s="60"/>
      <c r="C13" s="61"/>
      <c r="D13" s="61"/>
      <c r="E13" s="61"/>
      <c r="F13" s="61"/>
      <c r="G13" s="60"/>
      <c r="H13" s="60"/>
      <c r="I13" s="60"/>
      <c r="J13" s="97"/>
      <c r="K13" s="60"/>
    </row>
    <row r="14" spans="1:15" ht="18.75" customHeight="1" x14ac:dyDescent="0.25">
      <c r="A14" s="60"/>
      <c r="B14" s="60"/>
      <c r="C14" s="61" t="s">
        <v>61</v>
      </c>
      <c r="D14" s="61"/>
      <c r="E14" s="61"/>
      <c r="F14" s="61"/>
      <c r="G14" s="60"/>
      <c r="H14" s="60"/>
      <c r="I14" s="60"/>
      <c r="J14" s="97"/>
      <c r="K14" s="60"/>
    </row>
    <row r="15" spans="1:15" ht="272.25" customHeight="1" x14ac:dyDescent="0.25">
      <c r="A15" s="60"/>
      <c r="B15" s="60"/>
      <c r="C15" s="160"/>
      <c r="D15" s="161"/>
      <c r="E15" s="161"/>
      <c r="F15" s="161"/>
      <c r="G15" s="161"/>
      <c r="H15" s="161"/>
      <c r="I15" s="161"/>
      <c r="J15" s="162"/>
      <c r="K15" s="60"/>
      <c r="O15" s="93"/>
    </row>
    <row r="16" spans="1:15" ht="18.75" customHeight="1" x14ac:dyDescent="0.25">
      <c r="A16" s="60"/>
      <c r="B16" s="60"/>
      <c r="C16" s="61" t="s">
        <v>30</v>
      </c>
      <c r="D16" s="61"/>
      <c r="E16" s="61"/>
      <c r="F16" s="61"/>
      <c r="G16" s="60"/>
      <c r="H16" s="60"/>
      <c r="I16" s="60"/>
      <c r="J16" s="97"/>
      <c r="K16" s="60"/>
    </row>
    <row r="17" spans="1:12" ht="78.75" customHeight="1" x14ac:dyDescent="0.25">
      <c r="A17" s="60"/>
      <c r="B17" s="60"/>
      <c r="C17" s="61"/>
      <c r="D17" s="61"/>
      <c r="E17" s="61"/>
      <c r="F17" s="61"/>
      <c r="G17" s="60"/>
      <c r="H17" s="60"/>
      <c r="I17" s="60"/>
      <c r="J17" s="97"/>
      <c r="K17" s="60"/>
    </row>
    <row r="18" spans="1:12" ht="18.75" customHeight="1" x14ac:dyDescent="0.25">
      <c r="A18" s="60"/>
      <c r="B18" s="60"/>
      <c r="C18" s="61" t="s">
        <v>31</v>
      </c>
      <c r="D18" s="61"/>
      <c r="E18" s="61"/>
      <c r="F18" s="61"/>
      <c r="G18" s="60"/>
      <c r="H18" s="60"/>
      <c r="I18" s="60"/>
      <c r="J18" s="97"/>
      <c r="K18" s="60"/>
    </row>
    <row r="19" spans="1:12" ht="170.25" customHeight="1" thickBot="1" x14ac:dyDescent="0.3">
      <c r="A19" s="60"/>
      <c r="B19" s="60"/>
      <c r="C19" s="100"/>
      <c r="D19" s="112"/>
      <c r="E19" s="112"/>
      <c r="F19" s="112"/>
      <c r="G19" s="101"/>
      <c r="H19" s="102"/>
      <c r="I19" s="60"/>
      <c r="J19" s="115"/>
      <c r="K19" s="60"/>
    </row>
    <row r="20" spans="1:12" ht="24.95" customHeight="1" x14ac:dyDescent="0.2">
      <c r="A20" s="60"/>
      <c r="B20" s="60"/>
      <c r="C20" s="98" t="s">
        <v>5</v>
      </c>
      <c r="D20" s="98"/>
      <c r="E20" s="98"/>
      <c r="F20" s="98"/>
      <c r="G20" s="60"/>
      <c r="H20" s="60"/>
      <c r="I20" s="113"/>
      <c r="J20" s="119"/>
      <c r="K20" s="114"/>
    </row>
    <row r="21" spans="1:12" ht="3.95" customHeight="1" x14ac:dyDescent="0.25">
      <c r="A21" s="60"/>
      <c r="B21" s="60"/>
      <c r="C21" s="98"/>
      <c r="D21" s="98"/>
      <c r="E21" s="98"/>
      <c r="F21" s="98"/>
      <c r="G21" s="60"/>
      <c r="H21" s="60"/>
      <c r="I21" s="60"/>
      <c r="J21" s="116"/>
      <c r="K21" s="60"/>
    </row>
    <row r="22" spans="1:12" s="1" customFormat="1" ht="24.95" customHeight="1" x14ac:dyDescent="0.3">
      <c r="A22" s="99" t="s">
        <v>69</v>
      </c>
      <c r="B22" s="106" t="s">
        <v>85</v>
      </c>
      <c r="C22" s="106"/>
      <c r="D22" s="106"/>
      <c r="E22" s="106"/>
      <c r="F22" s="106"/>
      <c r="G22" s="106"/>
      <c r="H22" s="61"/>
      <c r="I22" s="61"/>
      <c r="J22" s="84"/>
      <c r="K22" s="60"/>
      <c r="L22" s="56"/>
    </row>
    <row r="23" spans="1:12" s="1" customFormat="1" ht="3.95" customHeight="1" thickBot="1" x14ac:dyDescent="0.35">
      <c r="A23" s="99"/>
      <c r="B23" s="106"/>
      <c r="C23" s="106"/>
      <c r="D23" s="106"/>
      <c r="E23" s="106"/>
      <c r="F23" s="106"/>
      <c r="G23" s="106"/>
      <c r="H23" s="61"/>
      <c r="I23" s="61"/>
      <c r="J23" s="84"/>
      <c r="K23" s="60"/>
      <c r="L23" s="56"/>
    </row>
    <row r="24" spans="1:12" s="1" customFormat="1" ht="24.95" customHeight="1" x14ac:dyDescent="0.25">
      <c r="A24" s="61"/>
      <c r="B24" s="106" t="s">
        <v>19</v>
      </c>
      <c r="C24" s="106"/>
      <c r="D24" s="106"/>
      <c r="E24" s="106"/>
      <c r="F24" s="106"/>
      <c r="G24" s="106"/>
      <c r="H24" s="61"/>
      <c r="I24" s="61"/>
      <c r="J24" s="120"/>
      <c r="K24" s="60"/>
      <c r="L24" s="56"/>
    </row>
    <row r="25" spans="1:12" s="1" customFormat="1" ht="3.95" customHeight="1" x14ac:dyDescent="0.25">
      <c r="A25" s="61"/>
      <c r="B25" s="106"/>
      <c r="C25" s="106"/>
      <c r="D25" s="106"/>
      <c r="E25" s="106"/>
      <c r="F25" s="106"/>
      <c r="G25" s="106"/>
      <c r="H25" s="61"/>
      <c r="I25" s="61"/>
      <c r="J25" s="84"/>
      <c r="K25" s="60"/>
      <c r="L25" s="56"/>
    </row>
    <row r="26" spans="1:12" s="1" customFormat="1" ht="24.95" customHeight="1" x14ac:dyDescent="0.25">
      <c r="A26" s="61"/>
      <c r="B26" s="106" t="s">
        <v>20</v>
      </c>
      <c r="C26" s="106"/>
      <c r="D26" s="106"/>
      <c r="E26" s="106"/>
      <c r="F26" s="106"/>
      <c r="G26" s="106"/>
      <c r="H26" s="61"/>
      <c r="I26" s="61"/>
      <c r="J26" s="84"/>
      <c r="K26" s="60"/>
      <c r="L26" s="56"/>
    </row>
    <row r="27" spans="1:12" s="1" customFormat="1" ht="3.95" customHeight="1" x14ac:dyDescent="0.25">
      <c r="A27" s="61"/>
      <c r="B27" s="106"/>
      <c r="C27" s="106"/>
      <c r="D27" s="106"/>
      <c r="E27" s="106"/>
      <c r="F27" s="106"/>
      <c r="G27" s="106"/>
      <c r="H27" s="61"/>
      <c r="I27" s="61"/>
      <c r="J27" s="84"/>
      <c r="K27" s="60"/>
      <c r="L27" s="56"/>
    </row>
    <row r="28" spans="1:12" s="1" customFormat="1" ht="32.25" customHeight="1" x14ac:dyDescent="0.25">
      <c r="A28" s="61"/>
      <c r="B28" s="138" t="str">
        <f ca="1">IF(Лист1!B30="","","Штуцер передвижной для регулирования глубины погружения датчика температуры")</f>
        <v>Штуцер передвижной для регулирования глубины погружения датчика температуры</v>
      </c>
      <c r="C28" s="138"/>
      <c r="D28" s="138"/>
      <c r="E28" s="138"/>
      <c r="F28" s="138"/>
      <c r="G28" s="138"/>
      <c r="H28" s="61"/>
      <c r="I28" s="61"/>
      <c r="J28" s="84"/>
      <c r="K28" s="60"/>
      <c r="L28" s="56"/>
    </row>
    <row r="29" spans="1:12" s="1" customFormat="1" ht="3.95" customHeight="1" thickBot="1" x14ac:dyDescent="0.3">
      <c r="A29" s="61"/>
      <c r="B29" s="110"/>
      <c r="C29" s="110"/>
      <c r="D29" s="110"/>
      <c r="E29" s="110"/>
      <c r="F29" s="110"/>
      <c r="G29" s="110"/>
      <c r="H29" s="61"/>
      <c r="I29" s="61"/>
      <c r="J29" s="84"/>
      <c r="K29" s="60"/>
      <c r="L29" s="56"/>
    </row>
    <row r="30" spans="1:12" s="1" customFormat="1" ht="24.95" customHeight="1" x14ac:dyDescent="0.25">
      <c r="A30" s="61"/>
      <c r="B30" s="107" t="str">
        <f>IF(Лист1!B39="","","Способ крепления термопреобразователя")</f>
        <v/>
      </c>
      <c r="C30" s="108"/>
      <c r="D30" s="110"/>
      <c r="E30" s="110"/>
      <c r="F30" s="110"/>
      <c r="G30" s="108"/>
      <c r="H30" s="61"/>
      <c r="I30" s="61"/>
      <c r="J30" s="120"/>
      <c r="K30" s="60"/>
      <c r="L30" s="56"/>
    </row>
    <row r="31" spans="1:12" s="1" customFormat="1" ht="3.95" customHeight="1" thickBot="1" x14ac:dyDescent="0.3">
      <c r="A31" s="61"/>
      <c r="B31" s="107"/>
      <c r="C31" s="110"/>
      <c r="D31" s="110"/>
      <c r="E31" s="110"/>
      <c r="F31" s="110"/>
      <c r="G31" s="110"/>
      <c r="H31" s="61"/>
      <c r="I31" s="61"/>
      <c r="J31" s="84"/>
      <c r="K31" s="60"/>
      <c r="L31" s="56"/>
    </row>
    <row r="32" spans="1:12" s="1" customFormat="1" ht="24.95" customHeight="1" x14ac:dyDescent="0.25">
      <c r="A32" s="61"/>
      <c r="B32" s="106" t="s">
        <v>87</v>
      </c>
      <c r="C32" s="106"/>
      <c r="D32" s="106"/>
      <c r="E32" s="106"/>
      <c r="F32" s="106"/>
      <c r="G32" s="106"/>
      <c r="H32" s="61"/>
      <c r="I32" s="61"/>
      <c r="J32" s="120"/>
      <c r="K32" s="60"/>
      <c r="L32" s="56"/>
    </row>
    <row r="33" spans="1:12" s="1" customFormat="1" ht="3.95" customHeight="1" x14ac:dyDescent="0.25">
      <c r="A33" s="61"/>
      <c r="B33" s="106"/>
      <c r="C33" s="106"/>
      <c r="D33" s="106"/>
      <c r="E33" s="106"/>
      <c r="F33" s="106"/>
      <c r="G33" s="106"/>
      <c r="H33" s="61"/>
      <c r="I33" s="61"/>
      <c r="J33" s="84"/>
      <c r="K33" s="60"/>
      <c r="L33" s="56"/>
    </row>
    <row r="34" spans="1:12" s="1" customFormat="1" ht="24.95" customHeight="1" x14ac:dyDescent="0.25">
      <c r="A34" s="61"/>
      <c r="B34" s="106" t="s">
        <v>88</v>
      </c>
      <c r="C34" s="106"/>
      <c r="D34" s="106"/>
      <c r="E34" s="106"/>
      <c r="F34" s="106"/>
      <c r="G34" s="106"/>
      <c r="H34" s="61"/>
      <c r="I34" s="61"/>
      <c r="J34" s="84"/>
      <c r="K34" s="60"/>
      <c r="L34" s="56"/>
    </row>
    <row r="35" spans="1:12" s="1" customFormat="1" ht="30.75" customHeight="1" x14ac:dyDescent="0.25">
      <c r="A35" s="61"/>
      <c r="B35" s="106"/>
      <c r="C35" s="157" t="str">
        <f ca="1">Лист1!C66</f>
        <v/>
      </c>
      <c r="D35" s="158"/>
      <c r="E35" s="158"/>
      <c r="F35" s="158"/>
      <c r="G35" s="158"/>
      <c r="H35" s="159"/>
      <c r="I35" s="61"/>
      <c r="J35" s="84"/>
      <c r="K35" s="60"/>
      <c r="L35" s="56"/>
    </row>
    <row r="36" spans="1:12" s="1" customFormat="1" ht="3.95" customHeight="1" thickBot="1" x14ac:dyDescent="0.3">
      <c r="A36" s="61"/>
      <c r="B36" s="106"/>
      <c r="C36" s="106"/>
      <c r="D36" s="106"/>
      <c r="E36" s="106"/>
      <c r="F36" s="106"/>
      <c r="G36" s="106"/>
      <c r="H36" s="61"/>
      <c r="I36" s="61"/>
      <c r="J36" s="84"/>
      <c r="K36" s="60"/>
      <c r="L36" s="56"/>
    </row>
    <row r="37" spans="1:12" s="1" customFormat="1" ht="24.95" customHeight="1" x14ac:dyDescent="0.25">
      <c r="A37" s="61"/>
      <c r="B37" s="106" t="str">
        <f ca="1">IF(Лист1!B74="","","Присоединительная резьба штуцера")</f>
        <v/>
      </c>
      <c r="C37" s="106"/>
      <c r="D37" s="106"/>
      <c r="E37" s="106"/>
      <c r="F37" s="106"/>
      <c r="G37" s="106"/>
      <c r="H37" s="61"/>
      <c r="I37" s="61"/>
      <c r="J37" s="120"/>
      <c r="K37" s="60"/>
      <c r="L37" s="56"/>
    </row>
    <row r="38" spans="1:12" s="1" customFormat="1" ht="3.95" customHeight="1" thickBot="1" x14ac:dyDescent="0.3">
      <c r="A38" s="61"/>
      <c r="B38" s="106"/>
      <c r="C38" s="106"/>
      <c r="D38" s="106"/>
      <c r="E38" s="106"/>
      <c r="F38" s="106"/>
      <c r="G38" s="106"/>
      <c r="H38" s="61"/>
      <c r="I38" s="61"/>
      <c r="J38" s="84"/>
      <c r="K38" s="60"/>
      <c r="L38" s="56"/>
    </row>
    <row r="39" spans="1:12" s="1" customFormat="1" ht="24.95" customHeight="1" x14ac:dyDescent="0.25">
      <c r="A39" s="61"/>
      <c r="B39" s="106" t="s">
        <v>21</v>
      </c>
      <c r="C39" s="106"/>
      <c r="D39" s="106"/>
      <c r="E39" s="106"/>
      <c r="F39" s="106"/>
      <c r="G39" s="106"/>
      <c r="H39" s="61"/>
      <c r="I39" s="61"/>
      <c r="J39" s="120"/>
      <c r="K39" s="60"/>
      <c r="L39" s="56"/>
    </row>
    <row r="40" spans="1:12" s="1" customFormat="1" ht="3.95" customHeight="1" thickBot="1" x14ac:dyDescent="0.3">
      <c r="A40" s="61"/>
      <c r="B40" s="106"/>
      <c r="C40" s="106"/>
      <c r="D40" s="106"/>
      <c r="E40" s="106"/>
      <c r="F40" s="106"/>
      <c r="G40" s="106"/>
      <c r="H40" s="61"/>
      <c r="I40" s="61"/>
      <c r="J40" s="84"/>
      <c r="K40" s="60"/>
      <c r="L40" s="56"/>
    </row>
    <row r="41" spans="1:12" s="1" customFormat="1" ht="24.95" customHeight="1" x14ac:dyDescent="0.25">
      <c r="A41" s="61"/>
      <c r="B41" s="106" t="s">
        <v>13</v>
      </c>
      <c r="C41" s="106"/>
      <c r="D41" s="106"/>
      <c r="E41" s="106"/>
      <c r="F41" s="106"/>
      <c r="G41" s="106"/>
      <c r="H41" s="61"/>
      <c r="I41" s="61"/>
      <c r="J41" s="120"/>
      <c r="K41" s="60"/>
      <c r="L41" s="56"/>
    </row>
    <row r="42" spans="1:12" s="1" customFormat="1" ht="3.95" customHeight="1" x14ac:dyDescent="0.25">
      <c r="A42" s="61"/>
      <c r="B42" s="106"/>
      <c r="C42" s="106"/>
      <c r="D42" s="106"/>
      <c r="E42" s="106"/>
      <c r="F42" s="106"/>
      <c r="G42" s="106"/>
      <c r="H42" s="61"/>
      <c r="I42" s="61"/>
      <c r="J42" s="84"/>
      <c r="K42" s="60"/>
      <c r="L42" s="56"/>
    </row>
    <row r="43" spans="1:12" s="1" customFormat="1" ht="24.95" customHeight="1" x14ac:dyDescent="0.25">
      <c r="A43" s="61"/>
      <c r="B43" s="106" t="s">
        <v>51</v>
      </c>
      <c r="C43" s="106"/>
      <c r="D43" s="106"/>
      <c r="E43" s="106"/>
      <c r="F43" s="106"/>
      <c r="G43" s="106"/>
      <c r="H43" s="61"/>
      <c r="I43" s="61"/>
      <c r="J43" s="84"/>
      <c r="K43" s="60"/>
      <c r="L43" s="56"/>
    </row>
    <row r="44" spans="1:12" s="1" customFormat="1" ht="3.95" customHeight="1" x14ac:dyDescent="0.25">
      <c r="A44" s="61"/>
      <c r="B44" s="106"/>
      <c r="C44" s="106"/>
      <c r="D44" s="106"/>
      <c r="E44" s="106"/>
      <c r="F44" s="106"/>
      <c r="G44" s="106"/>
      <c r="H44" s="61"/>
      <c r="I44" s="61"/>
      <c r="J44" s="84"/>
      <c r="K44" s="60"/>
      <c r="L44" s="56"/>
    </row>
    <row r="45" spans="1:12" s="1" customFormat="1" ht="24.95" customHeight="1" x14ac:dyDescent="0.25">
      <c r="A45" s="61"/>
      <c r="B45" s="106" t="s">
        <v>56</v>
      </c>
      <c r="C45" s="106"/>
      <c r="D45" s="106"/>
      <c r="E45" s="106"/>
      <c r="F45" s="106"/>
      <c r="G45" s="106"/>
      <c r="H45" s="61"/>
      <c r="I45" s="61"/>
      <c r="J45" s="84"/>
      <c r="K45" s="60"/>
      <c r="L45" s="56"/>
    </row>
    <row r="46" spans="1:12" s="1" customFormat="1" ht="3.95" customHeight="1" thickBot="1" x14ac:dyDescent="0.3">
      <c r="A46" s="61"/>
      <c r="B46" s="106"/>
      <c r="C46" s="106"/>
      <c r="D46" s="106"/>
      <c r="E46" s="106"/>
      <c r="F46" s="106"/>
      <c r="G46" s="106"/>
      <c r="H46" s="61"/>
      <c r="I46" s="61"/>
      <c r="J46" s="84"/>
      <c r="K46" s="60"/>
      <c r="L46" s="56"/>
    </row>
    <row r="47" spans="1:12" s="1" customFormat="1" ht="24.95" customHeight="1" x14ac:dyDescent="0.3">
      <c r="A47" s="99" t="s">
        <v>69</v>
      </c>
      <c r="B47" s="106" t="s">
        <v>65</v>
      </c>
      <c r="C47" s="106"/>
      <c r="D47" s="106"/>
      <c r="E47" s="106"/>
      <c r="F47" s="106"/>
      <c r="G47" s="106"/>
      <c r="H47" s="61"/>
      <c r="I47" s="61"/>
      <c r="J47" s="120"/>
      <c r="K47" s="60"/>
      <c r="L47" s="56"/>
    </row>
    <row r="48" spans="1:12" s="1" customFormat="1" ht="3.95" customHeight="1" x14ac:dyDescent="0.3">
      <c r="A48" s="99"/>
      <c r="B48" s="106"/>
      <c r="C48" s="106"/>
      <c r="D48" s="106"/>
      <c r="E48" s="106"/>
      <c r="F48" s="106"/>
      <c r="G48" s="106"/>
      <c r="H48" s="61"/>
      <c r="I48" s="61"/>
      <c r="J48" s="84"/>
      <c r="K48" s="60"/>
      <c r="L48" s="56"/>
    </row>
    <row r="49" spans="1:12" s="1" customFormat="1" ht="24.95" customHeight="1" x14ac:dyDescent="0.25">
      <c r="A49" s="61"/>
      <c r="B49" s="106" t="str">
        <f>IF(Лист1!A82=1,"Свидетельство о поверке","")</f>
        <v>Свидетельство о поверке</v>
      </c>
      <c r="C49" s="106"/>
      <c r="D49" s="106"/>
      <c r="E49" s="106"/>
      <c r="F49" s="106"/>
      <c r="G49" s="106"/>
      <c r="H49" s="61"/>
      <c r="I49" s="61"/>
      <c r="J49" s="84"/>
      <c r="K49" s="60"/>
      <c r="L49" s="56"/>
    </row>
    <row r="50" spans="1:12" s="1" customFormat="1" ht="3.95" customHeight="1" thickBot="1" x14ac:dyDescent="0.3">
      <c r="A50" s="62"/>
      <c r="B50" s="109"/>
      <c r="C50" s="109"/>
      <c r="D50" s="109"/>
      <c r="E50" s="109"/>
      <c r="F50" s="109"/>
      <c r="G50" s="62"/>
      <c r="H50" s="62"/>
      <c r="I50" s="62"/>
      <c r="J50" s="89"/>
      <c r="K50" s="60"/>
      <c r="L50" s="56"/>
    </row>
    <row r="51" spans="1:12" s="1" customFormat="1" ht="47.25" customHeight="1" x14ac:dyDescent="0.25">
      <c r="A51" s="61"/>
      <c r="B51" s="117" t="s">
        <v>8</v>
      </c>
      <c r="C51" s="84"/>
      <c r="D51" s="84"/>
      <c r="E51" s="84"/>
      <c r="F51" s="150"/>
      <c r="G51" s="151"/>
      <c r="H51" s="151"/>
      <c r="I51" s="151"/>
      <c r="J51" s="152"/>
      <c r="K51" s="60"/>
      <c r="L51" s="56"/>
    </row>
    <row r="52" spans="1:12" ht="3.95" customHeight="1" thickBot="1" x14ac:dyDescent="0.25">
      <c r="A52" s="60"/>
      <c r="B52" s="60"/>
      <c r="C52" s="85"/>
      <c r="D52" s="85"/>
      <c r="E52" s="85"/>
      <c r="F52" s="85"/>
      <c r="G52" s="85"/>
      <c r="H52" s="85"/>
      <c r="I52" s="85"/>
      <c r="J52" s="86"/>
      <c r="K52" s="60"/>
    </row>
    <row r="53" spans="1:12" ht="24.95" customHeight="1" x14ac:dyDescent="0.25">
      <c r="A53" s="60"/>
      <c r="B53" s="106" t="s">
        <v>7</v>
      </c>
      <c r="C53" s="83"/>
      <c r="D53" s="153"/>
      <c r="E53" s="154"/>
      <c r="F53" s="155"/>
      <c r="G53" s="83"/>
      <c r="H53" s="84" t="s">
        <v>25</v>
      </c>
      <c r="I53" s="83"/>
      <c r="J53" s="84"/>
      <c r="K53" s="60"/>
    </row>
    <row r="54" spans="1:12" ht="3.95" customHeight="1" x14ac:dyDescent="0.25">
      <c r="A54" s="60"/>
      <c r="B54" s="61"/>
      <c r="C54" s="85"/>
      <c r="D54" s="85"/>
      <c r="E54" s="85"/>
      <c r="F54" s="85"/>
      <c r="G54" s="85"/>
      <c r="H54" s="86"/>
      <c r="I54" s="85"/>
      <c r="J54" s="86"/>
      <c r="K54" s="60"/>
    </row>
    <row r="55" spans="1:12" ht="24.95" customHeight="1" thickBot="1" x14ac:dyDescent="0.3">
      <c r="A55" s="60"/>
      <c r="B55" s="106" t="s">
        <v>0</v>
      </c>
      <c r="C55" s="106"/>
      <c r="D55" s="106"/>
      <c r="E55" s="106"/>
      <c r="F55" s="106"/>
      <c r="G55" s="83"/>
      <c r="H55" s="86"/>
      <c r="I55" s="85"/>
      <c r="J55" s="86"/>
      <c r="K55" s="60"/>
    </row>
    <row r="56" spans="1:12" ht="24.95" customHeight="1" x14ac:dyDescent="0.25">
      <c r="A56" s="60"/>
      <c r="B56" s="106"/>
      <c r="C56" s="106" t="s">
        <v>1</v>
      </c>
      <c r="D56" s="106"/>
      <c r="E56" s="106"/>
      <c r="F56" s="156"/>
      <c r="G56" s="156"/>
      <c r="H56" s="156"/>
      <c r="I56" s="156"/>
      <c r="J56" s="156"/>
      <c r="K56" s="60"/>
    </row>
    <row r="57" spans="1:12" ht="3.95" customHeight="1" thickBot="1" x14ac:dyDescent="0.3">
      <c r="A57" s="60"/>
      <c r="B57" s="106"/>
      <c r="C57" s="106"/>
      <c r="D57" s="106"/>
      <c r="E57" s="106"/>
      <c r="F57" s="106"/>
      <c r="G57" s="83"/>
      <c r="H57" s="87"/>
      <c r="I57" s="88"/>
      <c r="J57" s="86"/>
      <c r="K57" s="60"/>
    </row>
    <row r="58" spans="1:12" ht="24.95" customHeight="1" x14ac:dyDescent="0.25">
      <c r="A58" s="60"/>
      <c r="B58" s="106"/>
      <c r="C58" s="106" t="s">
        <v>2</v>
      </c>
      <c r="D58" s="156"/>
      <c r="E58" s="156"/>
      <c r="F58" s="156"/>
      <c r="G58" s="156"/>
      <c r="H58" s="156"/>
      <c r="I58" s="156"/>
      <c r="J58" s="156"/>
      <c r="K58" s="60"/>
    </row>
    <row r="59" spans="1:12" ht="3.95" customHeight="1" thickBot="1" x14ac:dyDescent="0.3">
      <c r="A59" s="60"/>
      <c r="B59" s="106"/>
      <c r="C59" s="106"/>
      <c r="D59" s="106"/>
      <c r="E59" s="106"/>
      <c r="F59" s="106"/>
      <c r="G59" s="83"/>
      <c r="H59" s="87"/>
      <c r="I59" s="88"/>
      <c r="J59" s="86"/>
      <c r="K59" s="60"/>
    </row>
    <row r="60" spans="1:12" ht="24.95" customHeight="1" x14ac:dyDescent="0.25">
      <c r="A60" s="60"/>
      <c r="B60" s="106"/>
      <c r="C60" s="106" t="s">
        <v>3</v>
      </c>
      <c r="D60" s="106"/>
      <c r="E60" s="156"/>
      <c r="F60" s="156"/>
      <c r="G60" s="156"/>
      <c r="H60" s="156"/>
      <c r="I60" s="156"/>
      <c r="J60" s="156"/>
      <c r="K60" s="60"/>
    </row>
    <row r="61" spans="1:12" ht="3.95" customHeight="1" thickBot="1" x14ac:dyDescent="0.3">
      <c r="A61" s="60"/>
      <c r="B61" s="106"/>
      <c r="C61" s="106"/>
      <c r="D61" s="106"/>
      <c r="E61" s="106"/>
      <c r="F61" s="106"/>
      <c r="G61" s="83"/>
      <c r="H61" s="87"/>
      <c r="I61" s="88"/>
      <c r="J61" s="86"/>
      <c r="K61" s="60"/>
    </row>
    <row r="62" spans="1:12" ht="24.95" customHeight="1" x14ac:dyDescent="0.25">
      <c r="A62" s="60"/>
      <c r="B62" s="106"/>
      <c r="C62" s="106" t="s">
        <v>4</v>
      </c>
      <c r="D62" s="106"/>
      <c r="E62" s="156"/>
      <c r="F62" s="156"/>
      <c r="G62" s="156"/>
      <c r="H62" s="156"/>
      <c r="I62" s="156"/>
      <c r="J62" s="156"/>
      <c r="K62" s="60"/>
    </row>
    <row r="63" spans="1:12" ht="9.9499999999999993" customHeight="1" x14ac:dyDescent="0.25">
      <c r="A63" s="60"/>
      <c r="B63" s="61"/>
      <c r="C63" s="60"/>
      <c r="D63" s="60"/>
      <c r="E63" s="60"/>
      <c r="F63" s="60"/>
      <c r="G63" s="60"/>
      <c r="H63" s="60"/>
      <c r="I63" s="60"/>
      <c r="J63" s="86"/>
      <c r="K63" s="60"/>
    </row>
    <row r="64" spans="1:12" s="2" customFormat="1" ht="5.25" customHeight="1" x14ac:dyDescent="0.25">
      <c r="A64" s="29"/>
      <c r="B64" s="59"/>
      <c r="C64" s="29"/>
      <c r="D64" s="29"/>
      <c r="E64" s="29"/>
      <c r="F64" s="29"/>
      <c r="G64" s="29"/>
      <c r="H64" s="29"/>
      <c r="I64" s="29"/>
      <c r="J64" s="90"/>
      <c r="K64" s="60"/>
    </row>
    <row r="65" spans="1:11" x14ac:dyDescent="0.25">
      <c r="A65" s="23"/>
      <c r="B65" s="24" t="s">
        <v>11</v>
      </c>
      <c r="C65" s="24"/>
      <c r="D65" s="24"/>
      <c r="E65" s="24"/>
      <c r="F65" s="24"/>
      <c r="G65" s="24"/>
      <c r="H65" s="23"/>
      <c r="I65" s="23"/>
      <c r="J65" s="91"/>
      <c r="K65" s="60"/>
    </row>
    <row r="66" spans="1:11" x14ac:dyDescent="0.25">
      <c r="A66" s="23"/>
      <c r="B66" s="24"/>
      <c r="C66" s="142" t="str">
        <f ca="1">Лист1!A132</f>
        <v>Термометр "Автон" (-40..+85C, 1C, ТЩ0-40мм-4мм, 1м, LoRa)</v>
      </c>
      <c r="D66" s="143"/>
      <c r="E66" s="143"/>
      <c r="F66" s="143"/>
      <c r="G66" s="143"/>
      <c r="H66" s="144"/>
      <c r="I66" s="23"/>
      <c r="J66" s="91"/>
      <c r="K66" s="60"/>
    </row>
    <row r="67" spans="1:11" x14ac:dyDescent="0.25">
      <c r="A67" s="23"/>
      <c r="B67" s="24" t="s">
        <v>40</v>
      </c>
      <c r="C67" s="27"/>
      <c r="D67" s="27"/>
      <c r="E67" s="27"/>
      <c r="F67" s="27"/>
      <c r="G67" s="27"/>
      <c r="H67" s="27"/>
      <c r="I67" s="23"/>
      <c r="J67" s="91"/>
      <c r="K67" s="60"/>
    </row>
    <row r="68" spans="1:11" x14ac:dyDescent="0.25">
      <c r="A68" s="23"/>
      <c r="B68" s="25"/>
      <c r="C68" s="145" t="str">
        <f>Лист1!C118</f>
        <v/>
      </c>
      <c r="D68" s="146"/>
      <c r="E68" s="146"/>
      <c r="F68" s="146"/>
      <c r="G68" s="146"/>
      <c r="H68" s="147"/>
      <c r="I68" s="26"/>
      <c r="J68" s="91"/>
      <c r="K68" s="60"/>
    </row>
    <row r="69" spans="1:11" x14ac:dyDescent="0.25">
      <c r="A69" s="23"/>
      <c r="B69" s="25"/>
      <c r="C69" s="80" t="str">
        <f>Лист1!A137</f>
        <v/>
      </c>
      <c r="D69" s="80"/>
      <c r="E69" s="80"/>
      <c r="F69" s="80"/>
      <c r="G69" s="80"/>
      <c r="H69" s="80"/>
      <c r="I69" s="26"/>
      <c r="J69" s="91"/>
      <c r="K69" s="60"/>
    </row>
    <row r="70" spans="1:11" x14ac:dyDescent="0.25">
      <c r="A70" s="23"/>
      <c r="B70" s="25"/>
      <c r="C70" s="145" t="str">
        <f>Лист1!A136</f>
        <v/>
      </c>
      <c r="D70" s="146"/>
      <c r="E70" s="146"/>
      <c r="F70" s="146"/>
      <c r="G70" s="146"/>
      <c r="H70" s="147"/>
      <c r="I70" s="26"/>
      <c r="J70" s="91"/>
      <c r="K70" s="60"/>
    </row>
    <row r="71" spans="1:11" x14ac:dyDescent="0.25">
      <c r="A71" s="23"/>
      <c r="B71" s="24" t="s">
        <v>8</v>
      </c>
      <c r="C71" s="28"/>
      <c r="D71" s="28"/>
      <c r="E71" s="28"/>
      <c r="F71" s="28"/>
      <c r="G71" s="28"/>
      <c r="H71" s="28"/>
      <c r="I71" s="23"/>
      <c r="J71" s="91"/>
      <c r="K71" s="60"/>
    </row>
    <row r="72" spans="1:11" x14ac:dyDescent="0.25">
      <c r="A72" s="23"/>
      <c r="B72" s="25"/>
      <c r="C72" s="148" t="str">
        <f>Лист1!A134</f>
        <v/>
      </c>
      <c r="D72" s="149"/>
      <c r="E72" s="149"/>
      <c r="F72" s="149"/>
      <c r="G72" s="149"/>
      <c r="H72" s="149"/>
      <c r="I72" s="26"/>
      <c r="J72" s="91"/>
      <c r="K72" s="60"/>
    </row>
    <row r="73" spans="1:11" x14ac:dyDescent="0.25">
      <c r="A73" s="23"/>
      <c r="B73" s="25"/>
      <c r="C73" s="81" t="str">
        <f ca="1">Лист1!A135</f>
        <v/>
      </c>
      <c r="D73" s="111"/>
      <c r="E73" s="111"/>
      <c r="F73" s="111"/>
      <c r="G73" s="82"/>
      <c r="H73" s="82"/>
      <c r="I73" s="26"/>
      <c r="J73" s="91"/>
      <c r="K73" s="60"/>
    </row>
    <row r="74" spans="1:11" ht="51.75" customHeight="1" x14ac:dyDescent="0.25">
      <c r="A74" s="23"/>
      <c r="B74" s="25"/>
      <c r="C74" s="140" t="str">
        <f>IF(F51="","",F51)</f>
        <v/>
      </c>
      <c r="D74" s="141"/>
      <c r="E74" s="141"/>
      <c r="F74" s="141"/>
      <c r="G74" s="141"/>
      <c r="H74" s="141"/>
      <c r="I74" s="26"/>
      <c r="J74" s="91"/>
      <c r="K74" s="60"/>
    </row>
    <row r="75" spans="1:11" ht="9" customHeight="1" x14ac:dyDescent="0.25">
      <c r="A75" s="23"/>
      <c r="B75" s="24"/>
      <c r="C75" s="29"/>
      <c r="D75" s="29"/>
      <c r="E75" s="29"/>
      <c r="F75" s="29"/>
      <c r="G75" s="29"/>
      <c r="H75" s="29"/>
      <c r="I75" s="23"/>
      <c r="J75" s="91"/>
      <c r="K75" s="60"/>
    </row>
  </sheetData>
  <sheetProtection password="C7C8" sheet="1" objects="1" scenarios="1"/>
  <mergeCells count="16">
    <mergeCell ref="A1:I1"/>
    <mergeCell ref="B28:G28"/>
    <mergeCell ref="B3:G3"/>
    <mergeCell ref="C74:H74"/>
    <mergeCell ref="C66:H66"/>
    <mergeCell ref="C68:H68"/>
    <mergeCell ref="C70:H70"/>
    <mergeCell ref="C72:H72"/>
    <mergeCell ref="F51:J51"/>
    <mergeCell ref="D53:F53"/>
    <mergeCell ref="F56:J56"/>
    <mergeCell ref="D58:J58"/>
    <mergeCell ref="E60:J60"/>
    <mergeCell ref="E62:J62"/>
    <mergeCell ref="C35:H35"/>
    <mergeCell ref="C15:J15"/>
  </mergeCells>
  <hyperlinks>
    <hyperlink ref="A47" location="Варианты_креплений" display="?"/>
    <hyperlink ref="A22" location="Термометры_с_одним__двумя_и_четырьмя_термопреобразователями" display="?"/>
    <hyperlink ref="C35:H35" location="Габаритные_размеры_ТЩ0" display="Габаритные_размеры_ТЩ0"/>
  </hyperlinks>
  <pageMargins left="0.6692913385826772" right="0.15748031496062992" top="0.35433070866141736" bottom="0.27559055118110237" header="0.19685039370078741" footer="0.23622047244094491"/>
  <pageSetup paperSize="9" scale="48" fitToHeight="2" orientation="portrait" r:id="rId1"/>
  <rowBreaks count="1" manualBreakCount="1">
    <brk id="5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Drop Down 2">
              <controlPr defaultSize="0" autoLine="0" autoPict="0">
                <anchor moveWithCells="1">
                  <from>
                    <xdr:col>7</xdr:col>
                    <xdr:colOff>28575</xdr:colOff>
                    <xdr:row>38</xdr:row>
                    <xdr:rowOff>28575</xdr:rowOff>
                  </from>
                  <to>
                    <xdr:col>8</xdr:col>
                    <xdr:colOff>0</xdr:colOff>
                    <xdr:row>38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Drop Down 5">
              <controlPr defaultSize="0" autoLine="0" autoPict="0">
                <anchor moveWithCells="1">
                  <from>
                    <xdr:col>7</xdr:col>
                    <xdr:colOff>28575</xdr:colOff>
                    <xdr:row>25</xdr:row>
                    <xdr:rowOff>28575</xdr:rowOff>
                  </from>
                  <to>
                    <xdr:col>8</xdr:col>
                    <xdr:colOff>0</xdr:colOff>
                    <xdr:row>25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6" name="Drop Down 12">
              <controlPr defaultSize="0" autoLine="0" autoPict="0">
                <anchor moveWithCells="1">
                  <from>
                    <xdr:col>7</xdr:col>
                    <xdr:colOff>28575</xdr:colOff>
                    <xdr:row>40</xdr:row>
                    <xdr:rowOff>19050</xdr:rowOff>
                  </from>
                  <to>
                    <xdr:col>8</xdr:col>
                    <xdr:colOff>0</xdr:colOff>
                    <xdr:row>40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7" name="Drop Down 13">
              <controlPr defaultSize="0" autoLine="0" autoPict="0">
                <anchor moveWithCells="1">
                  <from>
                    <xdr:col>7</xdr:col>
                    <xdr:colOff>28575</xdr:colOff>
                    <xdr:row>46</xdr:row>
                    <xdr:rowOff>28575</xdr:rowOff>
                  </from>
                  <to>
                    <xdr:col>8</xdr:col>
                    <xdr:colOff>0</xdr:colOff>
                    <xdr:row>46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8" name="Drop Down 56">
              <controlPr defaultSize="0" autoLine="0" autoPict="0">
                <anchor moveWithCells="1">
                  <from>
                    <xdr:col>7</xdr:col>
                    <xdr:colOff>28575</xdr:colOff>
                    <xdr:row>23</xdr:row>
                    <xdr:rowOff>28575</xdr:rowOff>
                  </from>
                  <to>
                    <xdr:col>7</xdr:col>
                    <xdr:colOff>2895600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9" name="Drop Down 69">
              <controlPr defaultSize="0" autoLine="0" autoPict="0">
                <anchor moveWithCells="1">
                  <from>
                    <xdr:col>7</xdr:col>
                    <xdr:colOff>28575</xdr:colOff>
                    <xdr:row>31</xdr:row>
                    <xdr:rowOff>38100</xdr:rowOff>
                  </from>
                  <to>
                    <xdr:col>7</xdr:col>
                    <xdr:colOff>2895600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10" name="Drop Down 71">
              <controlPr defaultSize="0" autoLine="0" autoPict="0">
                <anchor moveWithCells="1">
                  <from>
                    <xdr:col>7</xdr:col>
                    <xdr:colOff>28575</xdr:colOff>
                    <xdr:row>33</xdr:row>
                    <xdr:rowOff>28575</xdr:rowOff>
                  </from>
                  <to>
                    <xdr:col>7</xdr:col>
                    <xdr:colOff>2895600</xdr:colOff>
                    <xdr:row>33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11" name="Drop Down 77">
              <controlPr defaultSize="0" autoLine="0" autoPict="0">
                <anchor moveWithCells="1">
                  <from>
                    <xdr:col>7</xdr:col>
                    <xdr:colOff>28575</xdr:colOff>
                    <xdr:row>48</xdr:row>
                    <xdr:rowOff>28575</xdr:rowOff>
                  </from>
                  <to>
                    <xdr:col>8</xdr:col>
                    <xdr:colOff>0</xdr:colOff>
                    <xdr:row>48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12" name="Drop Down 92">
              <controlPr defaultSize="0" autoLine="0" autoPict="0">
                <anchor moveWithCells="1">
                  <from>
                    <xdr:col>7</xdr:col>
                    <xdr:colOff>28575</xdr:colOff>
                    <xdr:row>42</xdr:row>
                    <xdr:rowOff>19050</xdr:rowOff>
                  </from>
                  <to>
                    <xdr:col>8</xdr:col>
                    <xdr:colOff>0</xdr:colOff>
                    <xdr:row>42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13" name="Drop Down 93">
              <controlPr defaultSize="0" autoLine="0" autoPict="0">
                <anchor moveWithCells="1">
                  <from>
                    <xdr:col>7</xdr:col>
                    <xdr:colOff>28575</xdr:colOff>
                    <xdr:row>44</xdr:row>
                    <xdr:rowOff>28575</xdr:rowOff>
                  </from>
                  <to>
                    <xdr:col>8</xdr:col>
                    <xdr:colOff>0</xdr:colOff>
                    <xdr:row>44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14" name="Drop Down 96">
              <controlPr defaultSize="0" autoLine="0" autoPict="0">
                <anchor moveWithCells="1">
                  <from>
                    <xdr:col>7</xdr:col>
                    <xdr:colOff>28575</xdr:colOff>
                    <xdr:row>27</xdr:row>
                    <xdr:rowOff>66675</xdr:rowOff>
                  </from>
                  <to>
                    <xdr:col>8</xdr:col>
                    <xdr:colOff>0</xdr:colOff>
                    <xdr:row>27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15" name="Drop Down 103">
              <controlPr defaultSize="0" autoLine="0" autoPict="0">
                <anchor moveWithCells="1">
                  <from>
                    <xdr:col>7</xdr:col>
                    <xdr:colOff>28575</xdr:colOff>
                    <xdr:row>36</xdr:row>
                    <xdr:rowOff>28575</xdr:rowOff>
                  </from>
                  <to>
                    <xdr:col>8</xdr:col>
                    <xdr:colOff>0</xdr:colOff>
                    <xdr:row>36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16" name="Drop Down 105">
              <controlPr defaultSize="0" autoLine="0" autoPict="0">
                <anchor moveWithCells="1">
                  <from>
                    <xdr:col>7</xdr:col>
                    <xdr:colOff>28575</xdr:colOff>
                    <xdr:row>29</xdr:row>
                    <xdr:rowOff>19050</xdr:rowOff>
                  </from>
                  <to>
                    <xdr:col>8</xdr:col>
                    <xdr:colOff>0</xdr:colOff>
                    <xdr:row>29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17" name="Option Button 108">
              <controlPr defaultSize="0" autoFill="0" autoLine="0" autoPict="0">
                <anchor moveWithCells="1">
                  <from>
                    <xdr:col>1</xdr:col>
                    <xdr:colOff>38100</xdr:colOff>
                    <xdr:row>3</xdr:row>
                    <xdr:rowOff>28575</xdr:rowOff>
                  </from>
                  <to>
                    <xdr:col>5</xdr:col>
                    <xdr:colOff>400050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18" name="Option Button 109">
              <controlPr defaultSize="0" autoFill="0" autoLine="0" autoPict="0">
                <anchor moveWithCells="1">
                  <from>
                    <xdr:col>1</xdr:col>
                    <xdr:colOff>38100</xdr:colOff>
                    <xdr:row>5</xdr:row>
                    <xdr:rowOff>28575</xdr:rowOff>
                  </from>
                  <to>
                    <xdr:col>5</xdr:col>
                    <xdr:colOff>400050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19" name="Option Button 110">
              <controlPr defaultSize="0" autoFill="0" autoLine="0" autoPict="0">
                <anchor moveWithCells="1">
                  <from>
                    <xdr:col>1</xdr:col>
                    <xdr:colOff>38100</xdr:colOff>
                    <xdr:row>7</xdr:row>
                    <xdr:rowOff>28575</xdr:rowOff>
                  </from>
                  <to>
                    <xdr:col>5</xdr:col>
                    <xdr:colOff>400050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20" name="Option Button 111">
              <controlPr defaultSize="0" autoFill="0" autoLine="0" autoPict="0">
                <anchor moveWithCells="1">
                  <from>
                    <xdr:col>1</xdr:col>
                    <xdr:colOff>38100</xdr:colOff>
                    <xdr:row>9</xdr:row>
                    <xdr:rowOff>28575</xdr:rowOff>
                  </from>
                  <to>
                    <xdr:col>5</xdr:col>
                    <xdr:colOff>400050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21" name="Option Button 112">
              <controlPr defaultSize="0" autoFill="0" autoLine="0" autoPict="0">
                <anchor moveWithCells="1">
                  <from>
                    <xdr:col>1</xdr:col>
                    <xdr:colOff>38100</xdr:colOff>
                    <xdr:row>11</xdr:row>
                    <xdr:rowOff>28575</xdr:rowOff>
                  </from>
                  <to>
                    <xdr:col>5</xdr:col>
                    <xdr:colOff>400050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22" name="Option Button 113">
              <controlPr defaultSize="0" autoFill="0" autoLine="0" autoPict="0">
                <anchor moveWithCells="1">
                  <from>
                    <xdr:col>1</xdr:col>
                    <xdr:colOff>38100</xdr:colOff>
                    <xdr:row>13</xdr:row>
                    <xdr:rowOff>28575</xdr:rowOff>
                  </from>
                  <to>
                    <xdr:col>5</xdr:col>
                    <xdr:colOff>400050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23" name="Option Button 114">
              <controlPr defaultSize="0" autoFill="0" autoLine="0" autoPict="0">
                <anchor moveWithCells="1">
                  <from>
                    <xdr:col>1</xdr:col>
                    <xdr:colOff>38100</xdr:colOff>
                    <xdr:row>15</xdr:row>
                    <xdr:rowOff>28575</xdr:rowOff>
                  </from>
                  <to>
                    <xdr:col>5</xdr:col>
                    <xdr:colOff>400050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24" name="Option Button 115">
              <controlPr defaultSize="0" autoFill="0" autoLine="0" autoPict="0">
                <anchor moveWithCells="1">
                  <from>
                    <xdr:col>1</xdr:col>
                    <xdr:colOff>38100</xdr:colOff>
                    <xdr:row>17</xdr:row>
                    <xdr:rowOff>28575</xdr:rowOff>
                  </from>
                  <to>
                    <xdr:col>5</xdr:col>
                    <xdr:colOff>400050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25" name="Option Button 116">
              <controlPr defaultSize="0" autoFill="0" autoLine="0" autoPict="0">
                <anchor moveWithCells="1">
                  <from>
                    <xdr:col>1</xdr:col>
                    <xdr:colOff>28575</xdr:colOff>
                    <xdr:row>19</xdr:row>
                    <xdr:rowOff>38100</xdr:rowOff>
                  </from>
                  <to>
                    <xdr:col>5</xdr:col>
                    <xdr:colOff>390525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26" name="Drop Down 117">
              <controlPr defaultSize="0" autoLine="0" autoPict="0">
                <anchor moveWithCells="1">
                  <from>
                    <xdr:col>7</xdr:col>
                    <xdr:colOff>28575</xdr:colOff>
                    <xdr:row>21</xdr:row>
                    <xdr:rowOff>9525</xdr:rowOff>
                  </from>
                  <to>
                    <xdr:col>8</xdr:col>
                    <xdr:colOff>0</xdr:colOff>
                    <xdr:row>21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B164"/>
  <sheetViews>
    <sheetView topLeftCell="A120" zoomScaleNormal="100" workbookViewId="0">
      <selection activeCell="B154" sqref="B154"/>
    </sheetView>
  </sheetViews>
  <sheetFormatPr defaultRowHeight="12.75" x14ac:dyDescent="0.2"/>
  <cols>
    <col min="1" max="1" width="23.7109375" customWidth="1"/>
    <col min="2" max="2" width="38" style="10" customWidth="1"/>
    <col min="3" max="3" width="18.42578125" customWidth="1"/>
    <col min="4" max="4" width="36.140625" customWidth="1"/>
    <col min="5" max="5" width="28" customWidth="1"/>
    <col min="6" max="6" width="18.42578125" customWidth="1"/>
    <col min="7" max="14" width="22.85546875" customWidth="1"/>
    <col min="15" max="15" width="32.5703125" customWidth="1"/>
    <col min="16" max="16" width="19.5703125" customWidth="1"/>
    <col min="17" max="17" width="16.28515625" customWidth="1"/>
    <col min="18" max="18" width="21.28515625" customWidth="1"/>
    <col min="19" max="19" width="20.85546875" customWidth="1"/>
    <col min="20" max="20" width="18.42578125" customWidth="1"/>
    <col min="21" max="21" width="16.28515625" customWidth="1"/>
    <col min="22" max="22" width="13.85546875" customWidth="1"/>
    <col min="23" max="23" width="16.28515625" customWidth="1"/>
    <col min="24" max="24" width="14.28515625" customWidth="1"/>
    <col min="25" max="25" width="16.28515625" customWidth="1"/>
    <col min="26" max="26" width="53.28515625" customWidth="1"/>
    <col min="28" max="28" width="24.42578125" customWidth="1"/>
  </cols>
  <sheetData>
    <row r="1" spans="1:16" ht="15.75" x14ac:dyDescent="0.2">
      <c r="A1" s="164" t="s">
        <v>22</v>
      </c>
      <c r="B1" s="164"/>
      <c r="C1" s="6" t="s">
        <v>24</v>
      </c>
      <c r="D1" s="8" t="s">
        <v>23</v>
      </c>
    </row>
    <row r="2" spans="1:16" ht="15.75" x14ac:dyDescent="0.2">
      <c r="A2" s="73"/>
      <c r="B2" s="73"/>
      <c r="C2" s="6"/>
      <c r="D2" s="8"/>
    </row>
    <row r="3" spans="1:16" ht="15.75" x14ac:dyDescent="0.2">
      <c r="A3" s="75" t="s">
        <v>86</v>
      </c>
      <c r="B3" s="57"/>
      <c r="C3" s="57"/>
      <c r="D3" s="8"/>
    </row>
    <row r="4" spans="1:16" ht="15.75" x14ac:dyDescent="0.2">
      <c r="A4" s="14">
        <v>1</v>
      </c>
      <c r="B4" s="31" t="str">
        <f>INDEX(Таблица11[Столбец1],A4,1)</f>
        <v>в виде цилиндрической гильзы</v>
      </c>
      <c r="C4" s="31" t="str">
        <f>INDEX(Таблица11[Столбец2],A4,1)</f>
        <v>ТЩ0</v>
      </c>
      <c r="D4" s="8" t="s">
        <v>42</v>
      </c>
      <c r="E4" t="s">
        <v>43</v>
      </c>
    </row>
    <row r="5" spans="1:16" ht="15.75" x14ac:dyDescent="0.2">
      <c r="A5" s="73"/>
      <c r="B5" s="73"/>
      <c r="C5" s="6"/>
      <c r="D5" s="30" t="s">
        <v>26</v>
      </c>
      <c r="E5" s="30" t="s">
        <v>77</v>
      </c>
    </row>
    <row r="6" spans="1:16" ht="15.75" x14ac:dyDescent="0.2">
      <c r="A6" s="73"/>
      <c r="B6" s="73"/>
      <c r="C6" s="6"/>
      <c r="D6" s="30" t="s">
        <v>41</v>
      </c>
      <c r="E6" s="30" t="s">
        <v>77</v>
      </c>
    </row>
    <row r="7" spans="1:16" ht="15.75" x14ac:dyDescent="0.2">
      <c r="A7" s="73"/>
      <c r="B7" s="73"/>
      <c r="C7" s="6"/>
      <c r="D7" s="30" t="s">
        <v>27</v>
      </c>
      <c r="E7" s="30" t="s">
        <v>78</v>
      </c>
    </row>
    <row r="8" spans="1:16" ht="15.75" x14ac:dyDescent="0.2">
      <c r="A8" s="73"/>
      <c r="B8" s="73"/>
      <c r="C8" s="6"/>
      <c r="D8" s="30" t="s">
        <v>28</v>
      </c>
      <c r="E8" s="30" t="s">
        <v>79</v>
      </c>
    </row>
    <row r="9" spans="1:16" ht="15.75" x14ac:dyDescent="0.2">
      <c r="A9" s="73"/>
      <c r="B9" s="73"/>
      <c r="C9" s="6"/>
      <c r="D9" s="30" t="s">
        <v>29</v>
      </c>
      <c r="E9" s="30" t="s">
        <v>80</v>
      </c>
    </row>
    <row r="10" spans="1:16" ht="15.75" x14ac:dyDescent="0.2">
      <c r="A10" s="73"/>
      <c r="B10" s="73"/>
      <c r="C10" s="6"/>
      <c r="D10" s="30" t="s">
        <v>61</v>
      </c>
      <c r="E10" s="30" t="s">
        <v>81</v>
      </c>
    </row>
    <row r="11" spans="1:16" ht="15.75" x14ac:dyDescent="0.2">
      <c r="A11" s="73"/>
      <c r="B11" s="73"/>
      <c r="C11" s="6"/>
      <c r="D11" s="30" t="s">
        <v>30</v>
      </c>
      <c r="E11" s="30" t="s">
        <v>82</v>
      </c>
    </row>
    <row r="12" spans="1:16" ht="15.75" x14ac:dyDescent="0.2">
      <c r="A12" s="73"/>
      <c r="B12" s="73"/>
      <c r="C12" s="6"/>
      <c r="D12" s="30" t="s">
        <v>31</v>
      </c>
      <c r="E12" s="30" t="s">
        <v>83</v>
      </c>
    </row>
    <row r="13" spans="1:16" ht="15.75" x14ac:dyDescent="0.2">
      <c r="A13" s="73"/>
      <c r="B13" s="73"/>
      <c r="C13" s="6"/>
      <c r="D13" s="74" t="s">
        <v>5</v>
      </c>
      <c r="E13" s="74" t="s">
        <v>84</v>
      </c>
    </row>
    <row r="14" spans="1:16" ht="16.5" customHeight="1" x14ac:dyDescent="0.25">
      <c r="A14" s="22" t="s">
        <v>57</v>
      </c>
      <c r="C14" s="1"/>
      <c r="E14" s="33"/>
    </row>
    <row r="15" spans="1:16" ht="38.25" x14ac:dyDescent="0.25">
      <c r="A15" s="14">
        <v>1</v>
      </c>
      <c r="B15" s="35" t="str">
        <f ca="1">INDEX(Таблица4[Столбец1],A15,1)</f>
        <v>-40..+85</v>
      </c>
      <c r="C15" s="15" t="str">
        <f ca="1">IF(B15="другой",'Опросный лист термометр'!J24,B15)&amp;"C"</f>
        <v>-40..+85C</v>
      </c>
      <c r="D15" t="s">
        <v>42</v>
      </c>
      <c r="F15" s="34"/>
      <c r="G15" s="76" t="str">
        <f t="array" ref="G15:O15">TRANSPOSE(Таблица11[Столбец1])</f>
        <v>в виде цилиндрической гильзы</v>
      </c>
      <c r="H15" s="76" t="str">
        <v>в виде цилиндрической гильзы (для использования в воде)</v>
      </c>
      <c r="I15" s="76" t="str">
        <v>с коммутационной головкой без штуцера</v>
      </c>
      <c r="J15" s="76" t="str">
        <v>с коммутационной головкой со штуцером</v>
      </c>
      <c r="K15" s="76" t="str">
        <v>со штуцером</v>
      </c>
      <c r="L15" s="76" t="str">
        <v>в виде гильзы с лыской</v>
      </c>
      <c r="M15" s="76" t="str">
        <v>в виде гильзы под винт</v>
      </c>
      <c r="N15" s="76" t="str">
        <v>в виде гильзы под торцевое крепление</v>
      </c>
      <c r="O15" s="76" t="str">
        <v>другое</v>
      </c>
      <c r="P15" s="34"/>
    </row>
    <row r="16" spans="1:16" ht="15.75" x14ac:dyDescent="0.25">
      <c r="A16" s="7"/>
      <c r="B16" s="11"/>
      <c r="C16" s="1"/>
      <c r="D16" t="str">
        <f ca="1">OFFSET(G16,0,A4-1)</f>
        <v>-40..+85</v>
      </c>
      <c r="F16" s="34"/>
      <c r="G16" s="58" t="s">
        <v>34</v>
      </c>
      <c r="H16" s="58" t="s">
        <v>34</v>
      </c>
      <c r="I16" s="58" t="s">
        <v>34</v>
      </c>
      <c r="J16" s="58" t="s">
        <v>34</v>
      </c>
      <c r="K16" s="58" t="s">
        <v>34</v>
      </c>
      <c r="L16" s="58" t="s">
        <v>34</v>
      </c>
      <c r="M16" s="58" t="s">
        <v>34</v>
      </c>
      <c r="N16" s="58" t="s">
        <v>34</v>
      </c>
      <c r="O16" s="58" t="s">
        <v>34</v>
      </c>
      <c r="P16" s="34"/>
    </row>
    <row r="17" spans="1:28" ht="15.75" x14ac:dyDescent="0.25">
      <c r="A17" s="7"/>
      <c r="B17" s="11"/>
      <c r="C17" s="1"/>
      <c r="D17" t="str">
        <f ca="1">OFFSET(G17,0,A4-1)</f>
        <v>-40..+125</v>
      </c>
      <c r="F17" s="34"/>
      <c r="G17" s="58" t="s">
        <v>35</v>
      </c>
      <c r="H17" s="58" t="s">
        <v>35</v>
      </c>
      <c r="I17" s="58" t="s">
        <v>35</v>
      </c>
      <c r="J17" s="58" t="s">
        <v>35</v>
      </c>
      <c r="K17" s="58" t="s">
        <v>35</v>
      </c>
      <c r="L17" s="58" t="s">
        <v>35</v>
      </c>
      <c r="M17" s="58" t="s">
        <v>35</v>
      </c>
      <c r="N17" s="58" t="s">
        <v>35</v>
      </c>
      <c r="O17" s="58" t="s">
        <v>35</v>
      </c>
      <c r="P17" s="34"/>
    </row>
    <row r="18" spans="1:28" ht="15.75" x14ac:dyDescent="0.25">
      <c r="A18" s="7"/>
      <c r="B18" s="11"/>
      <c r="C18" s="1"/>
      <c r="D18" t="str">
        <f ca="1">OFFSET(G18,0,A4-1)</f>
        <v>-40..+250</v>
      </c>
      <c r="F18" s="34"/>
      <c r="G18" s="58" t="s">
        <v>36</v>
      </c>
      <c r="H18" s="58" t="s">
        <v>9</v>
      </c>
      <c r="I18" s="58" t="s">
        <v>36</v>
      </c>
      <c r="J18" s="58" t="s">
        <v>36</v>
      </c>
      <c r="K18" s="58" t="s">
        <v>36</v>
      </c>
      <c r="L18" s="58" t="s">
        <v>36</v>
      </c>
      <c r="M18" s="58" t="s">
        <v>36</v>
      </c>
      <c r="N18" s="58" t="s">
        <v>9</v>
      </c>
      <c r="O18" s="58" t="s">
        <v>36</v>
      </c>
      <c r="P18" s="34"/>
    </row>
    <row r="19" spans="1:28" ht="15.75" x14ac:dyDescent="0.25">
      <c r="A19" s="7"/>
      <c r="B19" s="11"/>
      <c r="C19" s="1"/>
      <c r="D19" t="str">
        <f ca="1">OFFSET(G19,0,A4-1)</f>
        <v>другой</v>
      </c>
      <c r="F19" s="34"/>
      <c r="G19" s="58" t="s">
        <v>9</v>
      </c>
      <c r="H19" s="32" t="s">
        <v>25</v>
      </c>
      <c r="I19" s="58" t="s">
        <v>37</v>
      </c>
      <c r="J19" s="58" t="s">
        <v>37</v>
      </c>
      <c r="K19" s="58" t="s">
        <v>9</v>
      </c>
      <c r="L19" s="58" t="s">
        <v>9</v>
      </c>
      <c r="M19" s="58" t="s">
        <v>9</v>
      </c>
      <c r="N19" s="32" t="s">
        <v>25</v>
      </c>
      <c r="O19" s="58" t="s">
        <v>37</v>
      </c>
      <c r="P19" s="34"/>
    </row>
    <row r="20" spans="1:28" ht="15.75" x14ac:dyDescent="0.25">
      <c r="A20" s="7"/>
      <c r="B20" s="11"/>
      <c r="C20" s="1"/>
      <c r="D20" t="str">
        <f ca="1">OFFSET(G20,0,A4-1)</f>
        <v/>
      </c>
      <c r="F20" s="34"/>
      <c r="G20" s="32" t="s">
        <v>25</v>
      </c>
      <c r="H20" s="32" t="s">
        <v>25</v>
      </c>
      <c r="I20" s="58" t="s">
        <v>9</v>
      </c>
      <c r="J20" s="58" t="s">
        <v>9</v>
      </c>
      <c r="K20" s="32" t="s">
        <v>25</v>
      </c>
      <c r="L20" s="32" t="s">
        <v>25</v>
      </c>
      <c r="M20" s="32" t="s">
        <v>25</v>
      </c>
      <c r="N20" s="32" t="s">
        <v>25</v>
      </c>
      <c r="O20" s="58" t="s">
        <v>9</v>
      </c>
    </row>
    <row r="21" spans="1:28" ht="15.75" x14ac:dyDescent="0.25">
      <c r="A21" s="7"/>
      <c r="B21" s="11"/>
      <c r="C21" s="1"/>
      <c r="F21" s="34"/>
      <c r="G21" s="33"/>
      <c r="H21" s="33"/>
      <c r="I21" s="34"/>
      <c r="J21" s="34"/>
      <c r="K21" s="34"/>
      <c r="L21" s="34"/>
      <c r="M21" s="33"/>
    </row>
    <row r="22" spans="1:28" ht="15.75" x14ac:dyDescent="0.25">
      <c r="A22" s="47" t="s">
        <v>58</v>
      </c>
      <c r="B22" s="11"/>
      <c r="C22" s="1"/>
      <c r="E22" s="34"/>
    </row>
    <row r="23" spans="1:28" ht="38.25" x14ac:dyDescent="0.25">
      <c r="A23" s="14">
        <v>2</v>
      </c>
      <c r="B23" s="35" t="str">
        <f ca="1">INDEX(Таблица6[Столбец1],A23,1)</f>
        <v>1</v>
      </c>
      <c r="C23" s="15" t="str">
        <f ca="1">", "&amp;B23&amp;"C"</f>
        <v>, 1C</v>
      </c>
      <c r="D23" t="s">
        <v>42</v>
      </c>
      <c r="G23" s="76" t="str">
        <f t="array" ref="G23:O23">TRANSPOSE(Таблица11[Столбец1])</f>
        <v>в виде цилиндрической гильзы</v>
      </c>
      <c r="H23" s="76" t="str">
        <v>в виде цилиндрической гильзы (для использования в воде)</v>
      </c>
      <c r="I23" s="76" t="str">
        <v>с коммутационной головкой без штуцера</v>
      </c>
      <c r="J23" s="76" t="str">
        <v>с коммутационной головкой со штуцером</v>
      </c>
      <c r="K23" s="76" t="str">
        <v>со штуцером</v>
      </c>
      <c r="L23" s="76" t="str">
        <v>в виде гильзы с лыской</v>
      </c>
      <c r="M23" s="76" t="str">
        <v>в виде гильзы под винт</v>
      </c>
      <c r="N23" s="76" t="str">
        <v>в виде гильзы под торцевое крепление</v>
      </c>
      <c r="O23" s="76" t="str">
        <v>другое</v>
      </c>
    </row>
    <row r="24" spans="1:28" ht="15.75" x14ac:dyDescent="0.25">
      <c r="A24" s="7"/>
      <c r="B24" s="11"/>
      <c r="C24" s="18"/>
      <c r="D24" t="str">
        <f ca="1">OFFSET(G24,0,A4-1)</f>
        <v>0.5</v>
      </c>
      <c r="G24" s="58" t="str">
        <f ca="1">IF(B15="-40..+250","1","0.5")</f>
        <v>0.5</v>
      </c>
      <c r="H24" s="58" t="s">
        <v>62</v>
      </c>
      <c r="I24" s="58" t="str">
        <f ca="1">IF(OR(B15="-40..+250",B15="-40..+300"),"1","0.5")</f>
        <v>0.5</v>
      </c>
      <c r="J24" s="58" t="str">
        <f ca="1">IF(OR(B15="-40..+250",B15="-40..+300"),"1","0.5")</f>
        <v>0.5</v>
      </c>
      <c r="K24" s="58" t="str">
        <f ca="1">IF(B15="-40..+250","1","0.5")</f>
        <v>0.5</v>
      </c>
      <c r="L24" s="58" t="str">
        <f ca="1">IF(B15="-40..+250","1","0.5")</f>
        <v>0.5</v>
      </c>
      <c r="M24" s="58" t="str">
        <f ca="1">IF(B15="-40..+250","1","0.5")</f>
        <v>0.5</v>
      </c>
      <c r="N24" s="58" t="s">
        <v>62</v>
      </c>
      <c r="O24" s="58" t="str">
        <f ca="1">IF(OR(B15="-40..+250",B15="-40..+300"),"1","0.5")</f>
        <v>0.5</v>
      </c>
    </row>
    <row r="25" spans="1:28" ht="15.75" x14ac:dyDescent="0.25">
      <c r="A25" s="7"/>
      <c r="B25" s="11"/>
      <c r="C25" s="18"/>
      <c r="D25" t="str">
        <f ca="1">OFFSET(G25,0,A4-1)</f>
        <v>1</v>
      </c>
      <c r="G25" s="58" t="str">
        <f ca="1">IF(B15="-40..+250","2","1")</f>
        <v>1</v>
      </c>
      <c r="H25" s="58" t="s">
        <v>63</v>
      </c>
      <c r="I25" s="58" t="str">
        <f ca="1">IF(OR(B15="-40..+250",B15="-40..+300"),"2","1")</f>
        <v>1</v>
      </c>
      <c r="J25" s="58" t="str">
        <f ca="1">IF(OR(B15="-40..+250",B15="-40..+300"),"2","1")</f>
        <v>1</v>
      </c>
      <c r="K25" s="58" t="str">
        <f ca="1">IF(B15="-40..+250","2","1")</f>
        <v>1</v>
      </c>
      <c r="L25" s="58" t="str">
        <f ca="1">IF(B15="-40..+250","2","1")</f>
        <v>1</v>
      </c>
      <c r="M25" s="58" t="str">
        <f ca="1">IF(B15="-40..+250","2","1")</f>
        <v>1</v>
      </c>
      <c r="N25" s="58" t="s">
        <v>63</v>
      </c>
      <c r="O25" s="58" t="str">
        <f ca="1">IF(OR(B15="-40..+250",B15="-40..+300"),"2","1")</f>
        <v>1</v>
      </c>
    </row>
    <row r="26" spans="1:28" ht="15.75" x14ac:dyDescent="0.25">
      <c r="A26" s="7"/>
      <c r="B26" s="11"/>
      <c r="C26" s="18"/>
      <c r="D26" t="str">
        <f ca="1">OFFSET(G26,0,A4-1)</f>
        <v>2</v>
      </c>
      <c r="F26" s="34"/>
      <c r="G26" s="58" t="str">
        <f ca="1">IF(B15="-40..+250","","2")</f>
        <v>2</v>
      </c>
      <c r="H26" s="77" t="s">
        <v>25</v>
      </c>
      <c r="I26" s="58" t="str">
        <f ca="1">IF(OR(B15="-40..+250",B15="-40..+300"),"","2")</f>
        <v>2</v>
      </c>
      <c r="J26" s="58" t="str">
        <f ca="1">IF(OR(B15="-40..+250",B15="-40..+300"),"","2")</f>
        <v>2</v>
      </c>
      <c r="K26" s="58" t="str">
        <f ca="1">IF(B15="-40..+250","","2")</f>
        <v>2</v>
      </c>
      <c r="L26" s="58" t="str">
        <f ca="1">IF(B15="-40..+250","","2")</f>
        <v>2</v>
      </c>
      <c r="M26" s="58" t="str">
        <f ca="1">IF(B15="-40..+250","","2")</f>
        <v>2</v>
      </c>
      <c r="N26" s="77" t="s">
        <v>25</v>
      </c>
      <c r="O26" s="58" t="str">
        <f ca="1">IF(OR(B15="-40..+250",B15="-40..+300"),"","2")</f>
        <v>2</v>
      </c>
    </row>
    <row r="27" spans="1:28" ht="15.75" x14ac:dyDescent="0.25">
      <c r="C27" s="1"/>
      <c r="D27" s="33"/>
      <c r="G27" s="33"/>
      <c r="H27" s="34"/>
      <c r="I27" s="34"/>
      <c r="J27" s="34"/>
      <c r="K27" s="34"/>
      <c r="L27" s="33"/>
      <c r="N27" s="33"/>
      <c r="O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</row>
    <row r="28" spans="1:28" ht="15.75" x14ac:dyDescent="0.25">
      <c r="A28" s="47" t="s">
        <v>64</v>
      </c>
      <c r="C28" s="1"/>
      <c r="D28" s="33"/>
      <c r="G28" s="33"/>
      <c r="H28" s="34"/>
      <c r="I28" s="34"/>
      <c r="J28" s="34"/>
      <c r="K28" s="34"/>
      <c r="L28" s="33"/>
      <c r="N28" s="33"/>
      <c r="O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</row>
    <row r="29" spans="1:28" ht="15" x14ac:dyDescent="0.25">
      <c r="B29" s="11"/>
      <c r="C29" s="5"/>
      <c r="D29" s="5" t="s">
        <v>42</v>
      </c>
      <c r="E29" s="5" t="s">
        <v>43</v>
      </c>
      <c r="F29" s="34"/>
      <c r="G29" s="34"/>
      <c r="H29" s="34"/>
      <c r="I29" s="34"/>
      <c r="J29" s="34"/>
      <c r="K29" s="33"/>
      <c r="L29" s="34"/>
      <c r="M29" s="34"/>
      <c r="N29" s="34"/>
      <c r="P29" s="34"/>
      <c r="Q29" s="34"/>
      <c r="R29" s="34"/>
      <c r="S29" s="34"/>
      <c r="T29" s="33"/>
      <c r="U29" s="34"/>
      <c r="V29" s="34"/>
      <c r="W29" s="33"/>
    </row>
    <row r="30" spans="1:28" ht="15" x14ac:dyDescent="0.25">
      <c r="A30" s="49">
        <v>1</v>
      </c>
      <c r="B30" s="50" t="str">
        <f ca="1">INDEX(Таблица14[Столбец1],A30,1)</f>
        <v>не требуется</v>
      </c>
      <c r="C30" s="51" t="str">
        <f>INDEX(Таблица14[Столбец2],A30,1)</f>
        <v/>
      </c>
      <c r="D30" s="5" t="str">
        <f ca="1">IF(AND(NOT(B15="-40..+300"),OR(A4=1,A4=3,A4=4,A4=5)),"не требуется","")</f>
        <v>не требуется</v>
      </c>
      <c r="E30" s="52" t="s">
        <v>25</v>
      </c>
      <c r="F30" s="34"/>
      <c r="G30" s="34"/>
      <c r="H30" s="34"/>
      <c r="I30" s="34"/>
      <c r="J30" s="34"/>
      <c r="K30" s="33"/>
      <c r="L30" s="34"/>
      <c r="M30" s="34"/>
      <c r="N30" s="34"/>
      <c r="P30" s="34"/>
      <c r="Q30" s="34"/>
      <c r="R30" s="34"/>
      <c r="S30" s="34"/>
      <c r="T30" s="33"/>
      <c r="U30" s="34"/>
      <c r="V30" s="34"/>
      <c r="W30" s="33"/>
    </row>
    <row r="31" spans="1:28" ht="15" x14ac:dyDescent="0.25">
      <c r="A31" s="7"/>
      <c r="B31" s="11"/>
      <c r="C31" s="5"/>
      <c r="D31" s="5" t="str">
        <f ca="1">IF(AND(NOT(B15="-40..+300"),OR(A4=1,A4=3,A4=4,A4=5)),"требуется","")</f>
        <v>требуется</v>
      </c>
      <c r="E31" s="5" t="str">
        <f ca="1">IF(AND(NOT(B15="-40..+300"),OR(A4=1,A4=3,A4=4,A4=5)),"Штуцер передвижной для регулирования глубины погружения датчика температуры","")</f>
        <v>Штуцер передвижной для регулирования глубины погружения датчика температуры</v>
      </c>
      <c r="F31" s="34"/>
      <c r="G31" s="34"/>
      <c r="H31" s="34"/>
      <c r="I31" s="34"/>
      <c r="J31" s="34"/>
      <c r="K31" s="33"/>
      <c r="L31" s="34"/>
      <c r="M31" s="34"/>
      <c r="N31" s="34"/>
      <c r="P31" s="34"/>
      <c r="Q31" s="34"/>
      <c r="R31" s="34"/>
      <c r="S31" s="34"/>
      <c r="T31" s="33"/>
      <c r="U31" s="34"/>
      <c r="V31" s="34"/>
      <c r="W31" s="33"/>
    </row>
    <row r="32" spans="1:28" ht="15.75" x14ac:dyDescent="0.25">
      <c r="C32" s="1"/>
      <c r="D32" s="33"/>
      <c r="G32" s="33"/>
      <c r="H32" s="34"/>
      <c r="I32" s="34"/>
      <c r="J32" s="34"/>
      <c r="K32" s="34"/>
      <c r="L32" s="33"/>
      <c r="N32" s="33"/>
      <c r="O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</row>
    <row r="33" spans="1:28" x14ac:dyDescent="0.2">
      <c r="A33" s="122" t="s">
        <v>89</v>
      </c>
      <c r="B33" s="123"/>
      <c r="C33" s="124"/>
      <c r="D33" s="124"/>
      <c r="E33" s="125"/>
      <c r="F33" s="124"/>
      <c r="G33" s="124"/>
      <c r="H33" s="124"/>
      <c r="I33" s="124"/>
      <c r="J33" s="124"/>
      <c r="K33" s="124"/>
      <c r="L33" s="124"/>
      <c r="M33" s="124"/>
      <c r="N33" s="124"/>
      <c r="O33" s="124"/>
    </row>
    <row r="34" spans="1:28" ht="39" x14ac:dyDescent="0.25">
      <c r="A34" s="126">
        <v>1</v>
      </c>
      <c r="B34" s="127" t="str">
        <f ca="1">INDEX(Таблица716[Столбец1],A34,1)</f>
        <v/>
      </c>
      <c r="C34" s="128" t="str">
        <f ca="1">IF(B34="","","Способ крепления термощупа: "&amp;IF(B34="другой",'Опросный лист термометр'!#REF!,B34))</f>
        <v/>
      </c>
      <c r="D34" s="124" t="s">
        <v>42</v>
      </c>
      <c r="E34" s="124" t="s">
        <v>43</v>
      </c>
      <c r="F34" s="126">
        <f>MATCH(B4,G34:O34,0)</f>
        <v>1</v>
      </c>
      <c r="G34" s="129" t="s">
        <v>26</v>
      </c>
      <c r="H34" s="129" t="s">
        <v>41</v>
      </c>
      <c r="I34" s="129" t="s">
        <v>27</v>
      </c>
      <c r="J34" s="129" t="s">
        <v>28</v>
      </c>
      <c r="K34" s="129" t="s">
        <v>29</v>
      </c>
      <c r="L34" s="129" t="s">
        <v>61</v>
      </c>
      <c r="M34" s="129" t="s">
        <v>30</v>
      </c>
      <c r="N34" s="129" t="s">
        <v>31</v>
      </c>
      <c r="O34" s="129" t="s">
        <v>5</v>
      </c>
    </row>
    <row r="35" spans="1:28" ht="15.75" x14ac:dyDescent="0.25">
      <c r="A35" s="130"/>
      <c r="B35" s="131"/>
      <c r="C35" s="128" t="str">
        <f ca="1">INDEX(Таблица716[Столбец2],A34,1)</f>
        <v/>
      </c>
      <c r="D35" s="124" t="str">
        <f ca="1">OFFSET(G35,0,F34-1,,)</f>
        <v/>
      </c>
      <c r="E35" s="132" t="str">
        <f ca="1">IF(B34="","","-ШП")</f>
        <v/>
      </c>
      <c r="F35" s="124"/>
      <c r="G35" s="133" t="s">
        <v>25</v>
      </c>
      <c r="H35" s="133" t="s">
        <v>25</v>
      </c>
      <c r="I35" s="133" t="s">
        <v>25</v>
      </c>
      <c r="J35" s="134" t="str">
        <f>IF(A30=1,"штуцер подвижный","")</f>
        <v>штуцер подвижный</v>
      </c>
      <c r="K35" s="134" t="str">
        <f>IF(A30=1,"штуцер подвижный","")</f>
        <v>штуцер подвижный</v>
      </c>
      <c r="L35" s="133" t="s">
        <v>25</v>
      </c>
      <c r="M35" s="133" t="s">
        <v>25</v>
      </c>
      <c r="N35" s="133" t="s">
        <v>25</v>
      </c>
      <c r="O35" s="134" t="s">
        <v>17</v>
      </c>
    </row>
    <row r="36" spans="1:28" ht="15.75" x14ac:dyDescent="0.25">
      <c r="A36" s="130"/>
      <c r="B36" s="131"/>
      <c r="C36" s="135"/>
      <c r="D36" s="130" t="str">
        <f t="shared" ref="D36" ca="1" si="0">OFFSET(G36,0,$F$34-1,,)</f>
        <v/>
      </c>
      <c r="E36" s="132" t="s">
        <v>25</v>
      </c>
      <c r="F36" s="124"/>
      <c r="G36" s="133" t="s">
        <v>25</v>
      </c>
      <c r="H36" s="133" t="s">
        <v>25</v>
      </c>
      <c r="I36" s="133" t="s">
        <v>25</v>
      </c>
      <c r="J36" s="134" t="str">
        <f>IF(A30=1,"другой","")</f>
        <v>другой</v>
      </c>
      <c r="K36" s="134" t="str">
        <f>IF(A30=1,"другой","")</f>
        <v>другой</v>
      </c>
      <c r="L36" s="133" t="s">
        <v>25</v>
      </c>
      <c r="M36" s="133" t="s">
        <v>25</v>
      </c>
      <c r="N36" s="133" t="s">
        <v>25</v>
      </c>
      <c r="O36" s="134" t="s">
        <v>9</v>
      </c>
    </row>
    <row r="37" spans="1:28" ht="15.75" x14ac:dyDescent="0.25">
      <c r="C37" s="1"/>
      <c r="D37" s="33"/>
      <c r="G37" s="33"/>
      <c r="H37" s="34"/>
      <c r="I37" s="34"/>
      <c r="J37" s="34"/>
      <c r="K37" s="34"/>
      <c r="L37" s="33"/>
      <c r="N37" s="33"/>
      <c r="O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</row>
    <row r="38" spans="1:28" x14ac:dyDescent="0.2">
      <c r="A38" s="22" t="s">
        <v>89</v>
      </c>
      <c r="C38" s="10"/>
    </row>
    <row r="39" spans="1:28" x14ac:dyDescent="0.2">
      <c r="A39" s="14">
        <v>1</v>
      </c>
      <c r="B39" s="35" t="str">
        <f>INDEX(Таблица317[Столбец1],A39,1)</f>
        <v/>
      </c>
      <c r="C39" s="14" t="str">
        <f>INDEX(Таблица317[Столбец2],A39,1)</f>
        <v/>
      </c>
    </row>
    <row r="40" spans="1:28" ht="15.75" x14ac:dyDescent="0.25">
      <c r="C40" s="1"/>
      <c r="D40" t="s">
        <v>42</v>
      </c>
      <c r="E40" t="s">
        <v>43</v>
      </c>
    </row>
    <row r="41" spans="1:28" ht="15.75" x14ac:dyDescent="0.25">
      <c r="C41" s="1"/>
      <c r="D41" t="str">
        <f>IF(B4="в виде гильзы под торцевое крепление","Хомут Ø 100 мм","")</f>
        <v/>
      </c>
      <c r="E41" s="7" t="str">
        <f>IF(B4="в виде гильзы под торцевое крепление","Хомут Ø 100 мм","")</f>
        <v/>
      </c>
    </row>
    <row r="42" spans="1:28" ht="15.75" x14ac:dyDescent="0.25">
      <c r="C42" s="1"/>
      <c r="D42" t="str">
        <f>IF(B4="в виде гильзы под торцевое крепление","Хомут Ø 200 мм","")</f>
        <v/>
      </c>
      <c r="E42" s="7" t="str">
        <f>IF(B4="в виде гильзы под торцевое крепление","Хомут Ø 200 мм","")</f>
        <v/>
      </c>
      <c r="F42" s="93"/>
    </row>
    <row r="43" spans="1:28" ht="15.75" x14ac:dyDescent="0.25">
      <c r="C43" s="1"/>
      <c r="D43" t="str">
        <f>IF(B4="в виде гильзы под торцевое крепление","Хомут Ø 250 мм","")</f>
        <v/>
      </c>
      <c r="E43" s="7" t="str">
        <f>IF(B4="в виде гильзы под торцевое крепление","Хомут Ø 250 мм","")</f>
        <v/>
      </c>
    </row>
    <row r="44" spans="1:28" ht="15.75" x14ac:dyDescent="0.25">
      <c r="C44" s="1"/>
      <c r="D44" s="7" t="str">
        <f>IF(B4="в виде гильзы под торцевое крепление","Магнитное крепление","")</f>
        <v/>
      </c>
      <c r="E44" s="63" t="s">
        <v>25</v>
      </c>
    </row>
    <row r="45" spans="1:28" ht="15.75" x14ac:dyDescent="0.25">
      <c r="C45" s="1"/>
      <c r="D45" t="str">
        <f>IF(B4="в виде гильзы под торцевое крепление","другой","")</f>
        <v/>
      </c>
      <c r="E45" s="7" t="str">
        <f>IF(B4="в виде гильзы под торцевое крепление","Крепление термощупа: "&amp;'Опросный лист термометр'!J30,"")</f>
        <v/>
      </c>
    </row>
    <row r="47" spans="1:28" ht="15.75" x14ac:dyDescent="0.25">
      <c r="A47" s="22" t="s">
        <v>90</v>
      </c>
      <c r="C47" s="1"/>
      <c r="D47" s="16"/>
    </row>
    <row r="48" spans="1:28" ht="15" x14ac:dyDescent="0.25">
      <c r="A48" s="14">
        <v>1</v>
      </c>
      <c r="B48" s="35">
        <f ca="1">INDEX(Таблица2[Столбец1],A48,1)</f>
        <v>40</v>
      </c>
      <c r="C48" s="36" t="str">
        <f ca="1">IF(B48="другая",("-"&amp;'Опросный лист термометр'!J32),"-"&amp;B48)&amp;"мм"</f>
        <v>-40мм</v>
      </c>
      <c r="D48" s="16"/>
    </row>
    <row r="49" spans="1:28" x14ac:dyDescent="0.2">
      <c r="D49" t="s">
        <v>42</v>
      </c>
    </row>
    <row r="50" spans="1:28" x14ac:dyDescent="0.2">
      <c r="D50">
        <f t="shared" ref="D50" ca="1" si="1">OFFSET(G50,0,$F$34-1,,)</f>
        <v>40</v>
      </c>
      <c r="G50" s="30">
        <v>40</v>
      </c>
      <c r="H50" s="30">
        <v>21</v>
      </c>
      <c r="I50" s="30">
        <f ca="1">IF(B15="-40..+300",120,60)</f>
        <v>60</v>
      </c>
      <c r="J50" s="30">
        <f ca="1">IF(B15="-40..+300",60,40)</f>
        <v>40</v>
      </c>
      <c r="K50" s="54">
        <v>40</v>
      </c>
      <c r="L50" s="30">
        <f ca="1">IF(OR(B15="-40..+250",B23="0.5"),37,IF(B99="трубка силиконовая",23,37))</f>
        <v>37</v>
      </c>
      <c r="M50" s="30">
        <f ca="1">IF(OR(B15="-40..+250",B23="0.5"),41,42)</f>
        <v>42</v>
      </c>
      <c r="N50" s="30">
        <v>45</v>
      </c>
      <c r="O50" s="30">
        <v>40</v>
      </c>
    </row>
    <row r="51" spans="1:28" x14ac:dyDescent="0.2">
      <c r="D51">
        <f t="shared" ref="D51:D62" ca="1" si="2">OFFSET(G51,0,$F$34-1,,)</f>
        <v>45</v>
      </c>
      <c r="G51" s="30">
        <f ca="1">IF(OR(B15="-40..+250",B23="0.5"),50,45)</f>
        <v>45</v>
      </c>
      <c r="H51" s="32" t="s">
        <v>25</v>
      </c>
      <c r="I51" s="30">
        <f ca="1">IF(B15="-40..+300",160,80)</f>
        <v>80</v>
      </c>
      <c r="J51" s="30">
        <f ca="1">IF(B15="-40..+300",80,60)</f>
        <v>60</v>
      </c>
      <c r="K51" s="54">
        <f ca="1">IF(B15="-40..+250",60,46)</f>
        <v>46</v>
      </c>
      <c r="L51" s="32">
        <f ca="1">IF(OR(B15="-40..+250",B23="0.5"),43,IF(B99="трубка силиконовая","",45))</f>
        <v>45</v>
      </c>
      <c r="M51" s="32" t="s">
        <v>25</v>
      </c>
      <c r="N51" s="32" t="s">
        <v>25</v>
      </c>
      <c r="O51" s="30">
        <v>60</v>
      </c>
    </row>
    <row r="52" spans="1:28" x14ac:dyDescent="0.2">
      <c r="D52">
        <f t="shared" ca="1" si="2"/>
        <v>50</v>
      </c>
      <c r="G52" s="30">
        <f ca="1">IF(OR(B15="-40..+250",B23="0.5"),60,50)</f>
        <v>50</v>
      </c>
      <c r="H52" s="32" t="s">
        <v>25</v>
      </c>
      <c r="I52" s="30">
        <f ca="1">IF(B15="-40..+300",200,100)</f>
        <v>100</v>
      </c>
      <c r="J52" s="30">
        <f ca="1">IF(B15="-40..+300",100,80)</f>
        <v>80</v>
      </c>
      <c r="K52" s="54">
        <f ca="1">IF(B15="-40..+250",80,60)</f>
        <v>60</v>
      </c>
      <c r="L52" s="32" t="s">
        <v>25</v>
      </c>
      <c r="M52" s="32" t="s">
        <v>25</v>
      </c>
      <c r="N52" s="32" t="s">
        <v>25</v>
      </c>
      <c r="O52" s="30">
        <v>80</v>
      </c>
    </row>
    <row r="53" spans="1:28" x14ac:dyDescent="0.2">
      <c r="D53">
        <f t="shared" ca="1" si="2"/>
        <v>60</v>
      </c>
      <c r="G53" s="30">
        <f ca="1">IF(OR(B15="-40..+250",B23="0.5"),80,60)</f>
        <v>60</v>
      </c>
      <c r="H53" s="32" t="s">
        <v>25</v>
      </c>
      <c r="I53" s="30">
        <f ca="1">IF(B15="-40..+300","другая",120)</f>
        <v>120</v>
      </c>
      <c r="J53" s="30">
        <f ca="1">IF(B15="-40..+300",120,100)</f>
        <v>100</v>
      </c>
      <c r="K53" s="54">
        <f ca="1">IF(B15="-40..+250",100,64)</f>
        <v>64</v>
      </c>
      <c r="L53" s="32" t="s">
        <v>25</v>
      </c>
      <c r="M53" s="32" t="s">
        <v>25</v>
      </c>
      <c r="N53" s="32" t="s">
        <v>25</v>
      </c>
      <c r="O53" s="30">
        <v>100</v>
      </c>
    </row>
    <row r="54" spans="1:28" x14ac:dyDescent="0.2">
      <c r="D54">
        <f t="shared" ca="1" si="2"/>
        <v>80</v>
      </c>
      <c r="G54" s="30">
        <f ca="1">IF(OR(B15="-40..+250",B23="0.5"),100,80)</f>
        <v>80</v>
      </c>
      <c r="H54" s="32" t="s">
        <v>25</v>
      </c>
      <c r="I54" s="30">
        <f ca="1">IF(B15="-40..+300","",160)</f>
        <v>160</v>
      </c>
      <c r="J54" s="30">
        <f ca="1">IF(B15="-40..+300",160,120)</f>
        <v>120</v>
      </c>
      <c r="K54" s="54">
        <f ca="1">IF(B15="-40..+250",120,80)</f>
        <v>80</v>
      </c>
      <c r="L54" s="32" t="s">
        <v>25</v>
      </c>
      <c r="M54" s="32" t="s">
        <v>25</v>
      </c>
      <c r="N54" s="32" t="s">
        <v>25</v>
      </c>
      <c r="O54" s="30">
        <v>120</v>
      </c>
    </row>
    <row r="55" spans="1:28" x14ac:dyDescent="0.2">
      <c r="D55">
        <f t="shared" ca="1" si="2"/>
        <v>100</v>
      </c>
      <c r="G55" s="30">
        <f ca="1">IF(OR(B15="-40..+250",B23="0.5"),120,100)</f>
        <v>100</v>
      </c>
      <c r="H55" s="32" t="s">
        <v>25</v>
      </c>
      <c r="I55" s="53">
        <f ca="1">IF(B15="-40..+300","",180)</f>
        <v>180</v>
      </c>
      <c r="J55" s="53">
        <f ca="1">IF(B15="-40..+300",200,160)</f>
        <v>160</v>
      </c>
      <c r="K55" s="55">
        <f ca="1">IF(B15="-40..+250",160,100)</f>
        <v>100</v>
      </c>
      <c r="L55" s="32" t="s">
        <v>25</v>
      </c>
      <c r="M55" s="32" t="s">
        <v>25</v>
      </c>
      <c r="N55" s="32" t="s">
        <v>25</v>
      </c>
      <c r="O55" s="53">
        <v>160</v>
      </c>
    </row>
    <row r="56" spans="1:28" x14ac:dyDescent="0.2">
      <c r="D56">
        <f t="shared" ca="1" si="2"/>
        <v>120</v>
      </c>
      <c r="G56" s="30">
        <f ca="1">IF(OR(B15="-40..+250",B23="0.5"),160,120)</f>
        <v>120</v>
      </c>
      <c r="H56" s="32" t="s">
        <v>25</v>
      </c>
      <c r="I56" s="30">
        <f ca="1">IF(B15="-40..+300","",200)</f>
        <v>200</v>
      </c>
      <c r="J56" s="30">
        <f ca="1">IF(B15="-40..+300","другая",180)</f>
        <v>180</v>
      </c>
      <c r="K56" s="55">
        <f ca="1">IF(B15="-40..+250",200,120)</f>
        <v>120</v>
      </c>
      <c r="L56" s="32" t="s">
        <v>25</v>
      </c>
      <c r="M56" s="32" t="s">
        <v>25</v>
      </c>
      <c r="N56" s="32" t="s">
        <v>25</v>
      </c>
      <c r="O56" s="30">
        <v>180</v>
      </c>
    </row>
    <row r="57" spans="1:28" x14ac:dyDescent="0.2">
      <c r="D57">
        <f t="shared" ca="1" si="2"/>
        <v>160</v>
      </c>
      <c r="G57" s="30">
        <f ca="1">IF(OR(B15="-40..+250",B23="0.5"),180,160)</f>
        <v>160</v>
      </c>
      <c r="H57" s="32" t="s">
        <v>25</v>
      </c>
      <c r="I57" s="30" t="str">
        <f ca="1">IF(B15="-40..+300","","другая")</f>
        <v>другая</v>
      </c>
      <c r="J57" s="30">
        <f ca="1">IF(B15="-40..+300","",200)</f>
        <v>200</v>
      </c>
      <c r="K57" s="55">
        <f ca="1">IF(B15="-40..+250","другая",135)</f>
        <v>135</v>
      </c>
      <c r="L57" s="32" t="s">
        <v>25</v>
      </c>
      <c r="M57" s="32" t="s">
        <v>25</v>
      </c>
      <c r="N57" s="32" t="s">
        <v>25</v>
      </c>
      <c r="O57" s="30">
        <v>200</v>
      </c>
    </row>
    <row r="58" spans="1:28" x14ac:dyDescent="0.2">
      <c r="D58">
        <f t="shared" ca="1" si="2"/>
        <v>180</v>
      </c>
      <c r="G58" s="30">
        <f ca="1">IF(OR(B15="-40..+250",B23="0.5"),200,180)</f>
        <v>180</v>
      </c>
      <c r="H58" s="32" t="s">
        <v>25</v>
      </c>
      <c r="I58" s="32" t="s">
        <v>25</v>
      </c>
      <c r="J58" s="30" t="str">
        <f ca="1">IF(B15="-40..+300","","другая")</f>
        <v>другая</v>
      </c>
      <c r="K58" s="55">
        <f ca="1">IF(B15="-40..+250","",160)</f>
        <v>160</v>
      </c>
      <c r="L58" s="32" t="s">
        <v>25</v>
      </c>
      <c r="M58" s="32" t="s">
        <v>25</v>
      </c>
      <c r="N58" s="32" t="s">
        <v>25</v>
      </c>
      <c r="O58" s="30" t="s">
        <v>6</v>
      </c>
    </row>
    <row r="59" spans="1:28" x14ac:dyDescent="0.2">
      <c r="D59">
        <f t="shared" ca="1" si="2"/>
        <v>200</v>
      </c>
      <c r="G59" s="30">
        <f ca="1">IF(OR(B15="-40..+250",B23="0.5"),"другая",200)</f>
        <v>200</v>
      </c>
      <c r="H59" s="32" t="s">
        <v>25</v>
      </c>
      <c r="I59" s="32" t="s">
        <v>25</v>
      </c>
      <c r="J59" s="32" t="s">
        <v>25</v>
      </c>
      <c r="K59" s="32">
        <f ca="1">IF(B15="-40..+250","",200)</f>
        <v>200</v>
      </c>
      <c r="L59" s="32" t="s">
        <v>25</v>
      </c>
      <c r="M59" s="32" t="s">
        <v>25</v>
      </c>
      <c r="N59" s="32" t="s">
        <v>25</v>
      </c>
      <c r="O59" s="32" t="s">
        <v>25</v>
      </c>
    </row>
    <row r="60" spans="1:28" x14ac:dyDescent="0.2">
      <c r="D60" t="str">
        <f t="shared" ca="1" si="2"/>
        <v>другая</v>
      </c>
      <c r="G60" s="30" t="str">
        <f ca="1">IF(OR(B15="-40..+250",B23="0.5"),"","другая")</f>
        <v>другая</v>
      </c>
      <c r="H60" s="32" t="s">
        <v>25</v>
      </c>
      <c r="I60" s="32" t="s">
        <v>25</v>
      </c>
      <c r="J60" s="32" t="s">
        <v>25</v>
      </c>
      <c r="K60" s="30" t="str">
        <f ca="1">IF(B15="-40..+250","","другая")</f>
        <v>другая</v>
      </c>
      <c r="L60" s="32" t="s">
        <v>25</v>
      </c>
      <c r="M60" s="32" t="s">
        <v>25</v>
      </c>
      <c r="N60" s="32" t="s">
        <v>25</v>
      </c>
      <c r="O60" s="32" t="s">
        <v>25</v>
      </c>
    </row>
    <row r="61" spans="1:28" x14ac:dyDescent="0.2">
      <c r="D61" t="str">
        <f t="shared" ca="1" si="2"/>
        <v/>
      </c>
      <c r="G61" s="32" t="s">
        <v>25</v>
      </c>
      <c r="H61" s="32" t="s">
        <v>25</v>
      </c>
      <c r="I61" s="32" t="s">
        <v>25</v>
      </c>
      <c r="J61" s="32" t="s">
        <v>25</v>
      </c>
      <c r="K61" s="39" t="s">
        <v>25</v>
      </c>
      <c r="L61" s="32" t="s">
        <v>25</v>
      </c>
      <c r="M61" s="32" t="s">
        <v>25</v>
      </c>
      <c r="N61" s="32" t="s">
        <v>25</v>
      </c>
      <c r="O61" s="32" t="s">
        <v>25</v>
      </c>
    </row>
    <row r="62" spans="1:28" x14ac:dyDescent="0.2">
      <c r="C62" s="10"/>
      <c r="D62" t="str">
        <f t="shared" ca="1" si="2"/>
        <v/>
      </c>
      <c r="G62" s="32" t="s">
        <v>25</v>
      </c>
      <c r="H62" s="32" t="s">
        <v>25</v>
      </c>
      <c r="I62" s="32" t="s">
        <v>25</v>
      </c>
      <c r="J62" s="32" t="s">
        <v>25</v>
      </c>
      <c r="K62" s="32" t="s">
        <v>25</v>
      </c>
      <c r="L62" s="32" t="s">
        <v>25</v>
      </c>
      <c r="M62" s="32" t="s">
        <v>25</v>
      </c>
      <c r="N62" s="32" t="s">
        <v>25</v>
      </c>
      <c r="O62" s="32" t="s">
        <v>25</v>
      </c>
    </row>
    <row r="63" spans="1:28" ht="15.75" x14ac:dyDescent="0.25">
      <c r="C63" s="1"/>
      <c r="D63" s="33"/>
      <c r="G63" s="33"/>
      <c r="H63" s="34"/>
      <c r="I63" s="34"/>
      <c r="J63" s="34"/>
      <c r="K63" s="34"/>
      <c r="L63" s="33"/>
      <c r="N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</row>
    <row r="64" spans="1:28" x14ac:dyDescent="0.2">
      <c r="A64" s="22" t="s">
        <v>91</v>
      </c>
      <c r="C64" s="10"/>
      <c r="F64" s="33"/>
      <c r="G64" s="34"/>
      <c r="H64" s="33"/>
      <c r="I64" s="33"/>
      <c r="J64" s="34"/>
      <c r="K64" s="34"/>
      <c r="L64" s="34"/>
      <c r="M64" s="34"/>
      <c r="N64" s="33"/>
    </row>
    <row r="65" spans="1:23" x14ac:dyDescent="0.2">
      <c r="A65" s="14">
        <v>1</v>
      </c>
      <c r="B65" s="35">
        <f ca="1">INDEX(Таблица3[Столбец1],A65,1)</f>
        <v>4</v>
      </c>
      <c r="C65" s="14" t="str">
        <f ca="1">"-"&amp;B65&amp;"мм"</f>
        <v>-4мм</v>
      </c>
    </row>
    <row r="66" spans="1:23" ht="15.75" x14ac:dyDescent="0.25">
      <c r="C66" s="118" t="str">
        <f ca="1">IF(AND(B48=45,B65="7.5"),"В месте стыковки гильзы с кабелем допускается изменение диаметра гильзы вследствие обжима кабеля. Диаметр 7,5 мм обеспечивается на длине не менее 29 мм от конца гильзы. См. чертёж на листе Справка.","")</f>
        <v/>
      </c>
      <c r="D66" t="s">
        <v>42</v>
      </c>
    </row>
    <row r="67" spans="1:23" ht="15.75" x14ac:dyDescent="0.25">
      <c r="C67" s="1"/>
      <c r="D67">
        <f ca="1">OFFSET(G67,0,$F$34-1,,)</f>
        <v>4</v>
      </c>
      <c r="G67" s="30">
        <f ca="1">IF(B48=45,"7.5",IF(B48=50,5,IF(B48=180,5,4)))</f>
        <v>4</v>
      </c>
      <c r="H67" s="78" t="s">
        <v>70</v>
      </c>
      <c r="I67" s="30">
        <f ca="1">IF(B48=60,8,IF(B48=180,8,4))</f>
        <v>4</v>
      </c>
      <c r="J67" s="30">
        <f ca="1">IF(B15&lt;&gt;"-40..+300",IF(B48=180,8,4),IF(OR(B48=120,B48=160,B48=200,B48="другая"),4,10))</f>
        <v>4</v>
      </c>
      <c r="K67" s="30">
        <f ca="1">IF(OR(B48=46,B48=64),5,IF(B48=135,7,4))</f>
        <v>4</v>
      </c>
      <c r="L67" s="30">
        <f ca="1">IF(B48=37,14,IF(B48=43,7,IF(B48=45,10,19)))</f>
        <v>19</v>
      </c>
      <c r="M67" s="30">
        <f ca="1">IF(OR(B15="-40..+250",B23="0.5"),6,13)</f>
        <v>13</v>
      </c>
      <c r="N67" s="79" t="str">
        <f>IF(B39="Магнитное крепление","10","7.5")</f>
        <v>7.5</v>
      </c>
      <c r="O67" s="30">
        <v>5</v>
      </c>
    </row>
    <row r="68" spans="1:23" ht="15.75" x14ac:dyDescent="0.25">
      <c r="C68" s="1"/>
      <c r="D68">
        <f t="shared" ref="D68:D70" ca="1" si="3">OFFSET(G68,0,$F$34-1,,)</f>
        <v>5</v>
      </c>
      <c r="G68" s="30">
        <f ca="1">IF(B48=45,"",IF(B48=50,"",IF(B48=180,"",5)))</f>
        <v>5</v>
      </c>
      <c r="H68" s="40" t="s">
        <v>25</v>
      </c>
      <c r="I68" s="30">
        <f ca="1">IF(B48=60,10,IF(B48=180,"",5))</f>
        <v>5</v>
      </c>
      <c r="J68" s="30">
        <f ca="1">IF(B15&lt;&gt;"-40..+300",IF(B48=180,"",5),IF(OR(B48=120,B48=160,B48=200,B48="другая"),5,""))</f>
        <v>5</v>
      </c>
      <c r="K68" s="30">
        <f ca="1">IF(OR(B48=46,B48=64,B48=135),"",5)</f>
        <v>5</v>
      </c>
      <c r="L68" s="32" t="s">
        <v>25</v>
      </c>
      <c r="M68" s="32" t="s">
        <v>25</v>
      </c>
      <c r="N68" s="32" t="s">
        <v>25</v>
      </c>
      <c r="O68" s="30">
        <v>6</v>
      </c>
    </row>
    <row r="69" spans="1:23" ht="15.75" x14ac:dyDescent="0.25">
      <c r="C69" s="1"/>
      <c r="D69">
        <f t="shared" ca="1" si="3"/>
        <v>6</v>
      </c>
      <c r="G69" s="30">
        <f ca="1">IF(B48=45,"",IF(B48=50,"",IF(B48=180,"",6)))</f>
        <v>6</v>
      </c>
      <c r="H69" s="40" t="s">
        <v>25</v>
      </c>
      <c r="I69" s="30">
        <f ca="1">IF(B48=60,"",IF(B48=180,"",6))</f>
        <v>6</v>
      </c>
      <c r="J69" s="30">
        <f ca="1">IF(B15&lt;&gt;"-40..+300",IF(B48=180,"",6),IF(OR(B48=120,B48=160,B48=200,B48="другая"),6,""))</f>
        <v>6</v>
      </c>
      <c r="K69" s="30">
        <f ca="1">IF(OR(B48=46,B48=64,B48=135),"",6)</f>
        <v>6</v>
      </c>
      <c r="L69" s="32" t="s">
        <v>25</v>
      </c>
      <c r="M69" s="32" t="s">
        <v>25</v>
      </c>
      <c r="N69" s="32" t="s">
        <v>25</v>
      </c>
      <c r="O69" s="30">
        <v>8</v>
      </c>
    </row>
    <row r="70" spans="1:23" ht="15.75" x14ac:dyDescent="0.25">
      <c r="C70" s="1"/>
      <c r="D70">
        <f t="shared" ca="1" si="3"/>
        <v>8</v>
      </c>
      <c r="F70" s="34"/>
      <c r="G70" s="30">
        <f ca="1">IF(B48=45,"",IF(B48=50,"",IF(B48=180,"",8)))</f>
        <v>8</v>
      </c>
      <c r="H70" s="40" t="s">
        <v>25</v>
      </c>
      <c r="I70" s="30">
        <f ca="1">IF(B48=60,"",IF(B48=180,"",8))</f>
        <v>8</v>
      </c>
      <c r="J70" s="30" t="str">
        <f ca="1">IF(B15&lt;&gt;"-40..+300",IF(B48=180,"",IF(B48=40,"",8)),IF(OR(B48=120,B48=160,B48=200),10,IF(B48="другая",8,"")))</f>
        <v/>
      </c>
      <c r="K70" s="32">
        <f ca="1">IF(OR(B48=46,B48=64,B48=135),"",8)</f>
        <v>8</v>
      </c>
      <c r="L70" s="32" t="s">
        <v>25</v>
      </c>
      <c r="M70" s="32" t="s">
        <v>25</v>
      </c>
      <c r="N70" s="32" t="s">
        <v>25</v>
      </c>
      <c r="O70" s="30">
        <v>10</v>
      </c>
    </row>
    <row r="71" spans="1:23" x14ac:dyDescent="0.2">
      <c r="D71" s="7" t="str">
        <f ca="1">OFFSET(G71,0,$F$34-1,,)</f>
        <v/>
      </c>
      <c r="G71" s="32" t="s">
        <v>25</v>
      </c>
      <c r="H71" s="32" t="s">
        <v>25</v>
      </c>
      <c r="I71" s="30">
        <f ca="1">IF(B48=60,"",IF(B48=180,"",10))</f>
        <v>10</v>
      </c>
      <c r="J71" s="32" t="str">
        <f ca="1">IF(B15&lt;&gt;"-40..+300",IF(B48=180,"",IF(B48=40,"",10)),IF(B48="другая",10,""))</f>
        <v/>
      </c>
      <c r="K71" s="32" t="s">
        <v>25</v>
      </c>
      <c r="L71" s="32" t="s">
        <v>25</v>
      </c>
      <c r="M71" s="32" t="s">
        <v>25</v>
      </c>
      <c r="N71" s="32" t="s">
        <v>25</v>
      </c>
      <c r="O71" s="32" t="s">
        <v>25</v>
      </c>
    </row>
    <row r="73" spans="1:23" ht="15" x14ac:dyDescent="0.25">
      <c r="A73" s="47" t="s">
        <v>32</v>
      </c>
      <c r="B73" s="11"/>
      <c r="C73" s="5"/>
      <c r="D73" s="5"/>
      <c r="E73" s="5"/>
      <c r="F73" s="34"/>
      <c r="G73" s="34"/>
      <c r="H73" s="34"/>
      <c r="I73" s="34"/>
      <c r="J73" s="34"/>
      <c r="K73" s="33"/>
      <c r="L73" s="34"/>
      <c r="M73" s="34"/>
      <c r="N73" s="34"/>
      <c r="P73" s="34"/>
      <c r="Q73" s="34"/>
      <c r="R73" s="34"/>
      <c r="S73" s="34"/>
      <c r="T73" s="33"/>
      <c r="U73" s="34"/>
      <c r="V73" s="34"/>
      <c r="W73" s="33"/>
    </row>
    <row r="74" spans="1:23" ht="15.75" x14ac:dyDescent="0.25">
      <c r="A74" s="14">
        <v>1</v>
      </c>
      <c r="B74" s="35" t="str">
        <f ca="1">INDEX(Таблица10[Столбец1],A74,1)</f>
        <v/>
      </c>
      <c r="C74" s="15" t="str">
        <f ca="1">IF(B74="","","Присоединительная резьба штуцера: "&amp;IF(B74="другая",'Опросный лист термометр'!J37,B74))</f>
        <v/>
      </c>
      <c r="D74" s="5"/>
      <c r="E74" s="5"/>
    </row>
    <row r="75" spans="1:23" ht="15.75" x14ac:dyDescent="0.25">
      <c r="C75" s="15" t="str">
        <f ca="1">IF(OR(B74="G1/2",B74="M10x1"),", "&amp;B74,"")</f>
        <v/>
      </c>
      <c r="D75" t="s">
        <v>42</v>
      </c>
    </row>
    <row r="76" spans="1:23" ht="15.75" x14ac:dyDescent="0.25">
      <c r="C76" s="1"/>
      <c r="D76" t="str">
        <f ca="1">OFFSET(G76,0,F34-1,,)</f>
        <v/>
      </c>
      <c r="G76" s="32" t="str">
        <f ca="1">IF(B30="требуется","М20х1.5","")</f>
        <v/>
      </c>
      <c r="H76" s="32" t="s">
        <v>25</v>
      </c>
      <c r="I76" s="32" t="str">
        <f ca="1">IF(B30="требуется","М20х1.5","")</f>
        <v/>
      </c>
      <c r="J76" s="30" t="s">
        <v>71</v>
      </c>
      <c r="K76" s="30" t="s">
        <v>71</v>
      </c>
      <c r="L76" s="32" t="s">
        <v>25</v>
      </c>
      <c r="M76" s="40" t="s">
        <v>25</v>
      </c>
      <c r="N76" s="40" t="s">
        <v>25</v>
      </c>
      <c r="O76" s="30" t="str">
        <f>IF(A34&lt;4,"М20х1.5","")</f>
        <v>М20х1.5</v>
      </c>
    </row>
    <row r="77" spans="1:23" ht="15.75" x14ac:dyDescent="0.25">
      <c r="C77" s="1"/>
      <c r="D77" t="str">
        <f ca="1">OFFSET(G77,0,F34-1,,)</f>
        <v/>
      </c>
      <c r="G77" s="32" t="str">
        <f ca="1">IF(B30="требуется","другая","")</f>
        <v/>
      </c>
      <c r="H77" s="32" t="s">
        <v>25</v>
      </c>
      <c r="I77" s="32" t="str">
        <f ca="1">IF(B30="требуется","другая","")</f>
        <v/>
      </c>
      <c r="J77" s="30" t="s">
        <v>6</v>
      </c>
      <c r="K77" s="30" t="str">
        <f ca="1">IF(B48=135,"G1/2","другая")</f>
        <v>другая</v>
      </c>
      <c r="L77" s="32" t="s">
        <v>25</v>
      </c>
      <c r="M77" s="32" t="s">
        <v>25</v>
      </c>
      <c r="N77" s="32" t="s">
        <v>25</v>
      </c>
      <c r="O77" s="30" t="str">
        <f>IF(A34&lt;4,"G1/2","")</f>
        <v>G1/2</v>
      </c>
    </row>
    <row r="78" spans="1:23" ht="15.75" x14ac:dyDescent="0.25">
      <c r="C78" s="1"/>
      <c r="D78" t="str">
        <f ca="1">OFFSET(G78,0,F34-1,,)</f>
        <v/>
      </c>
      <c r="F78" s="34"/>
      <c r="G78" s="32" t="s">
        <v>25</v>
      </c>
      <c r="H78" s="32" t="s">
        <v>25</v>
      </c>
      <c r="I78" s="32" t="s">
        <v>25</v>
      </c>
      <c r="J78" s="32" t="s">
        <v>25</v>
      </c>
      <c r="K78" s="30" t="str">
        <f ca="1">IF(B48=135,"M10x1","")</f>
        <v/>
      </c>
      <c r="L78" s="32" t="s">
        <v>25</v>
      </c>
      <c r="M78" s="32" t="s">
        <v>25</v>
      </c>
      <c r="N78" s="32" t="s">
        <v>25</v>
      </c>
      <c r="O78" s="30" t="str">
        <f>IF(A34&lt;4,"M10x1","")</f>
        <v>M10x1</v>
      </c>
    </row>
    <row r="79" spans="1:23" ht="15.75" x14ac:dyDescent="0.25">
      <c r="C79" s="1"/>
      <c r="D79" t="str">
        <f ca="1">OFFSET(G79,0,F34-1,,)</f>
        <v/>
      </c>
      <c r="F79" s="34"/>
      <c r="G79" s="32" t="s">
        <v>25</v>
      </c>
      <c r="H79" s="32" t="s">
        <v>25</v>
      </c>
      <c r="I79" s="32" t="s">
        <v>25</v>
      </c>
      <c r="J79" s="32" t="s">
        <v>25</v>
      </c>
      <c r="K79" s="30" t="str">
        <f ca="1">IF(B48=135,"другая","")</f>
        <v/>
      </c>
      <c r="L79" s="32" t="s">
        <v>25</v>
      </c>
      <c r="M79" s="32" t="s">
        <v>25</v>
      </c>
      <c r="N79" s="32" t="s">
        <v>25</v>
      </c>
      <c r="O79" s="30" t="str">
        <f>IF(A34&lt;4,"другая","")</f>
        <v>другая</v>
      </c>
    </row>
    <row r="80" spans="1:23" x14ac:dyDescent="0.2">
      <c r="M80" s="39"/>
    </row>
    <row r="81" spans="1:13" ht="15.75" x14ac:dyDescent="0.25">
      <c r="A81" s="47" t="s">
        <v>85</v>
      </c>
      <c r="B81" s="11"/>
      <c r="C81" s="1"/>
      <c r="E81" s="34"/>
      <c r="M81" s="39"/>
    </row>
    <row r="82" spans="1:13" ht="15.75" x14ac:dyDescent="0.25">
      <c r="A82" s="14">
        <v>1</v>
      </c>
      <c r="B82" s="35">
        <f>INDEX(Таблица1[],A82,1)</f>
        <v>1</v>
      </c>
      <c r="C82" s="15" t="str">
        <f>VLOOKUP(B82,Таблица1[#All],2,)</f>
        <v xml:space="preserve">, </v>
      </c>
      <c r="E82" s="34"/>
      <c r="M82" s="39"/>
    </row>
    <row r="83" spans="1:13" ht="15" x14ac:dyDescent="0.25">
      <c r="A83" s="7"/>
      <c r="B83" s="11"/>
      <c r="C83" s="5"/>
      <c r="D83" t="s">
        <v>42</v>
      </c>
      <c r="E83" s="34" t="s">
        <v>43</v>
      </c>
      <c r="M83" s="39"/>
    </row>
    <row r="84" spans="1:13" ht="15" x14ac:dyDescent="0.25">
      <c r="A84" s="7"/>
      <c r="B84" s="11"/>
      <c r="C84" s="5"/>
      <c r="D84" s="5">
        <v>1</v>
      </c>
      <c r="E84" s="52" t="s">
        <v>74</v>
      </c>
      <c r="M84" s="39"/>
    </row>
    <row r="85" spans="1:13" ht="15" x14ac:dyDescent="0.25">
      <c r="A85" s="7"/>
      <c r="B85" s="11"/>
      <c r="C85" s="5"/>
      <c r="D85" s="5">
        <v>2</v>
      </c>
      <c r="E85" s="5" t="s">
        <v>75</v>
      </c>
      <c r="M85" s="39"/>
    </row>
    <row r="86" spans="1:13" ht="15" x14ac:dyDescent="0.25">
      <c r="A86" s="7"/>
      <c r="B86" s="11"/>
      <c r="C86" s="5"/>
      <c r="D86" s="5">
        <v>4</v>
      </c>
      <c r="E86" s="5" t="s">
        <v>76</v>
      </c>
      <c r="M86" s="39"/>
    </row>
    <row r="87" spans="1:13" x14ac:dyDescent="0.2">
      <c r="M87" s="39"/>
    </row>
    <row r="88" spans="1:13" ht="15.75" x14ac:dyDescent="0.25">
      <c r="A88" s="47" t="s">
        <v>59</v>
      </c>
      <c r="B88" s="11"/>
      <c r="C88" s="1"/>
      <c r="E88" s="34"/>
      <c r="F88" s="34"/>
      <c r="G88" s="34"/>
      <c r="H88" s="38"/>
      <c r="I88" s="38"/>
      <c r="J88" s="34"/>
      <c r="K88" s="34"/>
      <c r="L88" s="34"/>
      <c r="M88" s="38"/>
    </row>
    <row r="89" spans="1:13" ht="15.75" x14ac:dyDescent="0.25">
      <c r="A89" s="14">
        <v>1</v>
      </c>
      <c r="B89" s="35">
        <f>INDEX(Таблица8[Столбец1],A89,1)</f>
        <v>1</v>
      </c>
      <c r="C89" s="15" t="str">
        <f>VLOOKUP(B89,Таблица8[],2,)</f>
        <v>, 1м</v>
      </c>
      <c r="E89" s="34"/>
      <c r="F89" s="34"/>
      <c r="G89" s="34"/>
      <c r="H89" s="33"/>
      <c r="I89" s="33"/>
      <c r="J89" s="33"/>
      <c r="K89" s="33"/>
      <c r="L89" s="33"/>
      <c r="M89" s="33"/>
    </row>
    <row r="90" spans="1:13" ht="15" x14ac:dyDescent="0.25">
      <c r="A90" s="7"/>
      <c r="B90" s="11"/>
      <c r="C90" s="5"/>
      <c r="D90" t="s">
        <v>42</v>
      </c>
      <c r="E90" s="34" t="s">
        <v>43</v>
      </c>
      <c r="K90" s="3"/>
    </row>
    <row r="91" spans="1:13" ht="15" x14ac:dyDescent="0.25">
      <c r="A91" s="7"/>
      <c r="B91" s="11"/>
      <c r="C91" s="5"/>
      <c r="D91" s="5">
        <v>1</v>
      </c>
      <c r="E91" s="5" t="s">
        <v>44</v>
      </c>
      <c r="K91" s="3"/>
    </row>
    <row r="92" spans="1:13" ht="15" x14ac:dyDescent="0.25">
      <c r="A92" s="7"/>
      <c r="B92" s="11"/>
      <c r="C92" s="5"/>
      <c r="D92" s="5">
        <v>2</v>
      </c>
      <c r="E92" s="5" t="s">
        <v>45</v>
      </c>
      <c r="K92" s="3"/>
    </row>
    <row r="93" spans="1:13" ht="15" x14ac:dyDescent="0.25">
      <c r="A93" s="7"/>
      <c r="B93" s="11"/>
      <c r="C93" s="5"/>
      <c r="D93" s="5">
        <v>3</v>
      </c>
      <c r="E93" s="5" t="s">
        <v>46</v>
      </c>
      <c r="K93" s="3"/>
    </row>
    <row r="94" spans="1:13" ht="15" x14ac:dyDescent="0.25">
      <c r="A94" s="7"/>
      <c r="B94" s="11"/>
      <c r="C94" s="5"/>
      <c r="D94" s="5">
        <v>5</v>
      </c>
      <c r="E94" s="5" t="s">
        <v>47</v>
      </c>
      <c r="K94" s="3"/>
    </row>
    <row r="95" spans="1:13" ht="15" x14ac:dyDescent="0.25">
      <c r="A95" s="7"/>
      <c r="B95" s="11"/>
      <c r="C95" s="5"/>
      <c r="D95" s="5">
        <v>7</v>
      </c>
      <c r="E95" s="5" t="s">
        <v>48</v>
      </c>
      <c r="K95" s="3"/>
    </row>
    <row r="96" spans="1:13" ht="15" x14ac:dyDescent="0.25">
      <c r="A96" s="7"/>
      <c r="B96" s="11"/>
      <c r="C96" s="17"/>
      <c r="D96" s="5">
        <v>10</v>
      </c>
      <c r="E96" s="5" t="s">
        <v>49</v>
      </c>
      <c r="K96" s="3"/>
    </row>
    <row r="97" spans="1:25" ht="15" x14ac:dyDescent="0.25">
      <c r="A97" s="7"/>
      <c r="B97" s="11"/>
      <c r="C97" s="17"/>
      <c r="D97" s="17" t="s">
        <v>6</v>
      </c>
      <c r="E97" s="5" t="str">
        <f>", "&amp;'Опросный лист термометр'!J39&amp;"м"</f>
        <v>, м</v>
      </c>
      <c r="K97" s="3"/>
    </row>
    <row r="98" spans="1:25" ht="15" x14ac:dyDescent="0.25">
      <c r="A98" s="47" t="s">
        <v>13</v>
      </c>
      <c r="B98" s="11"/>
      <c r="C98" s="17"/>
      <c r="D98" s="17"/>
      <c r="E98" s="5"/>
      <c r="K98" s="3"/>
    </row>
    <row r="99" spans="1:25" ht="39" customHeight="1" x14ac:dyDescent="0.25">
      <c r="A99" s="14">
        <v>1</v>
      </c>
      <c r="B99" s="35" t="str">
        <f ca="1">INDEX(Таблица9[Столбец1],A99,1)</f>
        <v>без дополнительной защиты</v>
      </c>
      <c r="C99" s="15" t="str">
        <f ca="1">VLOOKUP(B99,Таблица9[],2,)</f>
        <v/>
      </c>
      <c r="D99" s="17"/>
      <c r="E99" s="5"/>
      <c r="G99" s="48" t="s">
        <v>26</v>
      </c>
      <c r="H99" s="48" t="s">
        <v>41</v>
      </c>
      <c r="I99" s="48" t="s">
        <v>27</v>
      </c>
      <c r="J99" s="48" t="s">
        <v>28</v>
      </c>
      <c r="K99" s="48" t="s">
        <v>29</v>
      </c>
      <c r="L99" s="48" t="s">
        <v>61</v>
      </c>
      <c r="M99" s="48" t="s">
        <v>30</v>
      </c>
      <c r="N99" s="48" t="s">
        <v>31</v>
      </c>
      <c r="O99" s="48" t="s">
        <v>5</v>
      </c>
      <c r="Q99" s="94" t="s">
        <v>26</v>
      </c>
      <c r="R99" s="94" t="s">
        <v>41</v>
      </c>
      <c r="S99" s="94" t="s">
        <v>27</v>
      </c>
      <c r="T99" s="94" t="s">
        <v>28</v>
      </c>
      <c r="U99" s="94" t="s">
        <v>29</v>
      </c>
      <c r="V99" s="94" t="s">
        <v>61</v>
      </c>
      <c r="W99" s="94" t="s">
        <v>30</v>
      </c>
      <c r="X99" s="94" t="s">
        <v>31</v>
      </c>
      <c r="Y99" s="94" t="s">
        <v>5</v>
      </c>
    </row>
    <row r="100" spans="1:25" ht="15" x14ac:dyDescent="0.25">
      <c r="A100" s="7"/>
      <c r="B100" s="11"/>
      <c r="C100" s="5"/>
      <c r="D100" t="s">
        <v>42</v>
      </c>
      <c r="E100" t="s">
        <v>43</v>
      </c>
      <c r="G100" s="37" t="s">
        <v>14</v>
      </c>
      <c r="H100" s="37" t="s">
        <v>96</v>
      </c>
      <c r="I100" s="37" t="s">
        <v>14</v>
      </c>
      <c r="J100" s="37" t="s">
        <v>14</v>
      </c>
      <c r="K100" s="37" t="s">
        <v>14</v>
      </c>
      <c r="L100" s="37" t="s">
        <v>14</v>
      </c>
      <c r="M100" s="37" t="s">
        <v>14</v>
      </c>
      <c r="N100" s="37" t="s">
        <v>14</v>
      </c>
      <c r="O100" s="37" t="s">
        <v>14</v>
      </c>
      <c r="Q100" s="32" t="s">
        <v>25</v>
      </c>
      <c r="R100" s="32" t="s">
        <v>97</v>
      </c>
      <c r="S100" s="32" t="s">
        <v>25</v>
      </c>
      <c r="T100" s="32" t="s">
        <v>25</v>
      </c>
      <c r="U100" s="32" t="s">
        <v>25</v>
      </c>
      <c r="V100" s="32" t="s">
        <v>25</v>
      </c>
      <c r="W100" s="32" t="s">
        <v>25</v>
      </c>
      <c r="X100" s="32" t="s">
        <v>25</v>
      </c>
      <c r="Y100" s="32" t="s">
        <v>25</v>
      </c>
    </row>
    <row r="101" spans="1:25" ht="15" x14ac:dyDescent="0.25">
      <c r="A101" s="7"/>
      <c r="B101" s="11"/>
      <c r="C101" s="5"/>
      <c r="D101" s="5" t="str">
        <f ca="1">OFFSET(G100,0,$F$34-1,,)</f>
        <v>без дополнительной защиты</v>
      </c>
      <c r="E101" s="5" t="str">
        <f ca="1">OFFSET(Q100,0,$F$34-1,,)</f>
        <v/>
      </c>
      <c r="G101" s="37" t="str">
        <f>IF(A15=3,"другая","труба гофрированная полимерная")</f>
        <v>труба гофрированная полимерная</v>
      </c>
      <c r="H101" s="30" t="s">
        <v>18</v>
      </c>
      <c r="I101" s="37" t="s">
        <v>15</v>
      </c>
      <c r="J101" s="37" t="s">
        <v>15</v>
      </c>
      <c r="K101" s="30" t="str">
        <f>IF(A15=3,"другая","труба гофрированная полимерная")</f>
        <v>труба гофрированная полимерная</v>
      </c>
      <c r="L101" s="30" t="str">
        <f>IF(A15=3,"пружина металлическая","труба гофрированная полимерная")</f>
        <v>труба гофрированная полимерная</v>
      </c>
      <c r="M101" s="30" t="str">
        <f>IF(A15=3,"пружина металлическая","труба гофрированная полимерная")</f>
        <v>труба гофрированная полимерная</v>
      </c>
      <c r="N101" s="37" t="str">
        <f>IF(A15=3,"пружина металлическая","труба гофрированная полимерная")</f>
        <v>труба гофрированная полимерная</v>
      </c>
      <c r="O101" s="37" t="s">
        <v>15</v>
      </c>
      <c r="Q101" s="30" t="str">
        <f>IF(A15=3,", "&amp;'Опросный лист термометр'!J41,", ТГ")</f>
        <v>, ТГ</v>
      </c>
      <c r="R101" s="30" t="str">
        <f>", "&amp;'Опросный лист термометр'!J41</f>
        <v xml:space="preserve">, </v>
      </c>
      <c r="S101" s="30" t="s">
        <v>50</v>
      </c>
      <c r="T101" s="30" t="s">
        <v>50</v>
      </c>
      <c r="U101" s="30" t="str">
        <f>IF(A15=3,", "&amp;'Опросный лист термометр'!J41,", ТГ")</f>
        <v>, ТГ</v>
      </c>
      <c r="V101" s="30" t="str">
        <f>", "&amp;IF(A15&gt;2,"ПМ","ТГ")</f>
        <v>, ТГ</v>
      </c>
      <c r="W101" s="30" t="str">
        <f>", "&amp;IF(A15&gt;2,"ПМ","ТГ")</f>
        <v>, ТГ</v>
      </c>
      <c r="X101" s="30" t="str">
        <f>", "&amp;IF(A15&gt;2,"ПМ","ТГ")</f>
        <v>, ТГ</v>
      </c>
      <c r="Y101" s="30" t="s">
        <v>50</v>
      </c>
    </row>
    <row r="102" spans="1:25" ht="15" x14ac:dyDescent="0.25">
      <c r="A102" s="7"/>
      <c r="B102" s="11"/>
      <c r="C102" s="5"/>
      <c r="D102" s="5" t="str">
        <f t="shared" ref="D102:D104" ca="1" si="4">OFFSET(G101,0,$F$34-1,,)</f>
        <v>труба гофрированная полимерная</v>
      </c>
      <c r="E102" s="5" t="str">
        <f t="shared" ref="E102:E104" ca="1" si="5">OFFSET(Q101,0,$F$34-1,,)</f>
        <v>, ТГ</v>
      </c>
      <c r="G102" s="30" t="str">
        <f>IF(A15=3,"","другая")</f>
        <v>другая</v>
      </c>
      <c r="H102" s="39" t="s">
        <v>25</v>
      </c>
      <c r="I102" s="30" t="s">
        <v>18</v>
      </c>
      <c r="J102" s="30" t="s">
        <v>18</v>
      </c>
      <c r="K102" s="30" t="str">
        <f>IF(A15=3,"","другая")</f>
        <v>другая</v>
      </c>
      <c r="L102" t="str">
        <f>IF(A15&lt;3,"трубка силиконовая","другая")</f>
        <v>трубка силиконовая</v>
      </c>
      <c r="M102" s="30" t="s">
        <v>18</v>
      </c>
      <c r="N102" s="37" t="s">
        <v>6</v>
      </c>
      <c r="O102" s="30" t="s">
        <v>18</v>
      </c>
      <c r="Q102" s="30" t="str">
        <f>", "&amp;'Опросный лист термометр'!J41</f>
        <v xml:space="preserve">, </v>
      </c>
      <c r="R102" s="32" t="s">
        <v>25</v>
      </c>
      <c r="S102" s="30" t="str">
        <f>", "&amp;'Опросный лист термометр'!J41</f>
        <v xml:space="preserve">, </v>
      </c>
      <c r="T102" s="30" t="str">
        <f>", "&amp;'Опросный лист термометр'!J41</f>
        <v xml:space="preserve">, </v>
      </c>
      <c r="U102" s="30" t="str">
        <f>IF(A15=3,"",", "&amp;'Опросный лист термометр'!J41)</f>
        <v xml:space="preserve">, </v>
      </c>
      <c r="V102" s="30" t="str">
        <f>IF(A15&lt;3,", ТС",", "&amp;'Опросный лист термометр'!J41)</f>
        <v>, ТС</v>
      </c>
      <c r="W102" s="30" t="str">
        <f>", "&amp;'Опросный лист термометр'!J41</f>
        <v xml:space="preserve">, </v>
      </c>
      <c r="X102" s="30" t="str">
        <f>", "&amp;'Опросный лист термометр'!J41</f>
        <v xml:space="preserve">, </v>
      </c>
      <c r="Y102" s="30" t="str">
        <f>", "&amp;'Опросный лист термометр'!J41</f>
        <v xml:space="preserve">, </v>
      </c>
    </row>
    <row r="103" spans="1:25" ht="15" x14ac:dyDescent="0.25">
      <c r="A103" s="7"/>
      <c r="B103" s="11"/>
      <c r="C103" s="5"/>
      <c r="D103" s="5" t="str">
        <f t="shared" ca="1" si="4"/>
        <v>другая</v>
      </c>
      <c r="E103" s="5" t="str">
        <f t="shared" ca="1" si="5"/>
        <v xml:space="preserve">, </v>
      </c>
      <c r="G103" s="32" t="s">
        <v>25</v>
      </c>
      <c r="H103" s="32" t="s">
        <v>25</v>
      </c>
      <c r="I103" s="32" t="s">
        <v>25</v>
      </c>
      <c r="J103" s="32" t="s">
        <v>25</v>
      </c>
      <c r="K103" s="32" t="s">
        <v>25</v>
      </c>
      <c r="L103" s="30" t="str">
        <f>IF(A15&lt;3,"другая","")</f>
        <v>другая</v>
      </c>
      <c r="M103" s="32" t="s">
        <v>25</v>
      </c>
      <c r="N103" s="32" t="s">
        <v>25</v>
      </c>
      <c r="O103" s="32" t="s">
        <v>25</v>
      </c>
      <c r="Q103" s="32" t="s">
        <v>25</v>
      </c>
      <c r="R103" s="32" t="s">
        <v>25</v>
      </c>
      <c r="S103" s="32" t="s">
        <v>25</v>
      </c>
      <c r="T103" s="32" t="s">
        <v>25</v>
      </c>
      <c r="U103" s="32" t="s">
        <v>25</v>
      </c>
      <c r="V103" s="32" t="str">
        <f>", "&amp;'Опросный лист термометр'!J41</f>
        <v xml:space="preserve">, </v>
      </c>
      <c r="W103" s="32" t="s">
        <v>25</v>
      </c>
      <c r="X103" s="32" t="s">
        <v>25</v>
      </c>
      <c r="Y103" s="32" t="s">
        <v>25</v>
      </c>
    </row>
    <row r="104" spans="1:25" ht="15" x14ac:dyDescent="0.25">
      <c r="A104" s="7"/>
      <c r="B104" s="11"/>
      <c r="C104" s="5"/>
      <c r="D104" s="5" t="str">
        <f t="shared" ca="1" si="4"/>
        <v/>
      </c>
      <c r="E104" s="5" t="str">
        <f t="shared" ca="1" si="5"/>
        <v/>
      </c>
      <c r="F104" s="34"/>
      <c r="G104" s="34"/>
      <c r="H104" s="34"/>
      <c r="I104" s="34"/>
      <c r="J104" s="34"/>
      <c r="K104" s="33"/>
      <c r="L104" s="34"/>
      <c r="M104" s="34"/>
      <c r="N104" s="34"/>
      <c r="P104" s="34"/>
      <c r="Q104" s="34"/>
      <c r="R104" s="34"/>
      <c r="S104" s="34"/>
      <c r="T104" s="33"/>
      <c r="U104" s="34"/>
      <c r="V104" s="34"/>
      <c r="W104" s="33"/>
    </row>
    <row r="106" spans="1:25" ht="15" x14ac:dyDescent="0.25">
      <c r="A106" s="47" t="s">
        <v>51</v>
      </c>
      <c r="B106" s="11"/>
      <c r="C106" s="5"/>
      <c r="D106" s="5"/>
      <c r="E106" s="5"/>
      <c r="F106" s="34"/>
      <c r="G106" s="34"/>
      <c r="H106" s="34"/>
      <c r="I106" s="34"/>
      <c r="J106" s="34"/>
      <c r="K106" s="33"/>
      <c r="L106" s="34"/>
      <c r="M106" s="34"/>
      <c r="N106" s="34"/>
      <c r="P106" s="34"/>
      <c r="Q106" s="34"/>
      <c r="R106" s="34"/>
      <c r="S106" s="34"/>
      <c r="T106" s="33"/>
      <c r="U106" s="34"/>
      <c r="V106" s="34"/>
      <c r="W106" s="33"/>
    </row>
    <row r="107" spans="1:25" ht="15" x14ac:dyDescent="0.25">
      <c r="A107" s="45">
        <v>1</v>
      </c>
      <c r="B107" s="46" t="str">
        <f>INDEX(D109:D110,A107,1)</f>
        <v>LoRaWAN + Bluetooth Low Energy</v>
      </c>
      <c r="C107" s="45" t="str">
        <f>VLOOKUP(B107,Таблица214[#All],2,)</f>
        <v>, LoRa</v>
      </c>
      <c r="D107" s="5"/>
      <c r="E107" s="5"/>
      <c r="F107" s="34"/>
      <c r="G107" s="34"/>
      <c r="H107" s="34"/>
      <c r="I107" s="34"/>
      <c r="J107" s="34"/>
      <c r="K107" s="33"/>
      <c r="L107" s="34"/>
      <c r="M107" s="34"/>
      <c r="N107" s="34"/>
      <c r="P107" s="34"/>
      <c r="Q107" s="34"/>
      <c r="R107" s="34"/>
      <c r="S107" s="34"/>
      <c r="T107" s="33"/>
      <c r="U107" s="34"/>
      <c r="V107" s="34"/>
      <c r="W107" s="33"/>
    </row>
    <row r="108" spans="1:25" x14ac:dyDescent="0.2">
      <c r="A108" s="41"/>
      <c r="B108" s="42"/>
      <c r="C108" s="41"/>
      <c r="D108" s="41" t="s">
        <v>42</v>
      </c>
      <c r="E108" s="41" t="s">
        <v>43</v>
      </c>
      <c r="F108" s="34"/>
      <c r="G108" s="34"/>
      <c r="H108" s="34"/>
      <c r="I108" s="34"/>
      <c r="J108" s="34"/>
      <c r="K108" s="33"/>
      <c r="L108" s="34"/>
      <c r="M108" s="34"/>
      <c r="N108" s="34"/>
      <c r="P108" s="34"/>
      <c r="Q108" s="34"/>
      <c r="R108" s="34"/>
      <c r="S108" s="34"/>
      <c r="T108" s="33"/>
      <c r="U108" s="34"/>
      <c r="V108" s="34"/>
      <c r="W108" s="33"/>
    </row>
    <row r="109" spans="1:25" x14ac:dyDescent="0.2">
      <c r="A109" s="43"/>
      <c r="B109" s="44"/>
      <c r="C109" s="41"/>
      <c r="D109" s="41" t="s">
        <v>52</v>
      </c>
      <c r="E109" s="41" t="s">
        <v>53</v>
      </c>
      <c r="F109" s="34"/>
      <c r="G109" s="34"/>
      <c r="H109" s="34"/>
      <c r="I109" s="34"/>
      <c r="J109" s="34"/>
      <c r="K109" s="33"/>
      <c r="L109" s="34"/>
      <c r="M109" s="34"/>
      <c r="N109" s="34"/>
      <c r="P109" s="34"/>
      <c r="Q109" s="34"/>
      <c r="R109" s="34"/>
      <c r="S109" s="34"/>
      <c r="T109" s="33"/>
      <c r="U109" s="34"/>
      <c r="V109" s="34"/>
      <c r="W109" s="33"/>
    </row>
    <row r="110" spans="1:25" ht="15" x14ac:dyDescent="0.25">
      <c r="A110" s="7"/>
      <c r="B110" s="11"/>
      <c r="C110" s="5"/>
      <c r="D110" s="41" t="s">
        <v>54</v>
      </c>
      <c r="E110" s="41" t="s">
        <v>55</v>
      </c>
      <c r="F110" s="34"/>
      <c r="G110" s="34"/>
      <c r="H110" s="34"/>
      <c r="I110" s="34"/>
      <c r="J110" s="34"/>
      <c r="K110" s="33"/>
      <c r="L110" s="34"/>
      <c r="M110" s="34"/>
      <c r="N110" s="34"/>
      <c r="P110" s="34"/>
      <c r="Q110" s="34"/>
      <c r="R110" s="34"/>
      <c r="S110" s="34"/>
      <c r="T110" s="33"/>
      <c r="U110" s="34"/>
      <c r="V110" s="34"/>
      <c r="W110" s="33"/>
    </row>
    <row r="112" spans="1:25" ht="15.75" x14ac:dyDescent="0.25">
      <c r="A112" s="22" t="s">
        <v>56</v>
      </c>
      <c r="C112" s="1"/>
      <c r="F112" s="34"/>
      <c r="G112" s="34"/>
      <c r="H112" s="34"/>
      <c r="I112" s="33"/>
      <c r="J112" s="33"/>
      <c r="K112" s="34"/>
      <c r="L112" s="34"/>
      <c r="M112" s="34"/>
      <c r="N112" s="33"/>
    </row>
    <row r="113" spans="1:14" x14ac:dyDescent="0.2">
      <c r="A113" s="14">
        <v>1</v>
      </c>
      <c r="B113" s="31" t="str">
        <f>INDEX(Таблица5[],A113,1)</f>
        <v>от -40 до +60 °C (индустриальный температурный диапазон)</v>
      </c>
      <c r="C113" s="31" t="str">
        <f>INDEX(Таблица5[],A113,2)</f>
        <v/>
      </c>
      <c r="D113" t="s">
        <v>42</v>
      </c>
      <c r="E113" t="s">
        <v>43</v>
      </c>
      <c r="F113" s="34"/>
      <c r="G113" s="34"/>
      <c r="H113" s="34"/>
      <c r="I113" s="33"/>
      <c r="J113" s="33"/>
      <c r="K113" s="34"/>
      <c r="L113" s="34"/>
      <c r="M113" s="34"/>
      <c r="N113" s="33"/>
    </row>
    <row r="114" spans="1:14" ht="15.75" x14ac:dyDescent="0.25">
      <c r="C114" s="1"/>
      <c r="D114" t="s">
        <v>60</v>
      </c>
      <c r="E114" s="39" t="s">
        <v>25</v>
      </c>
      <c r="F114" s="34"/>
      <c r="G114" s="34"/>
      <c r="H114" s="34"/>
      <c r="I114" s="33"/>
      <c r="J114" s="33"/>
      <c r="K114" s="34"/>
      <c r="L114" s="34"/>
      <c r="M114" s="34"/>
      <c r="N114" s="33"/>
    </row>
    <row r="115" spans="1:14" ht="15.75" x14ac:dyDescent="0.25">
      <c r="C115" s="1"/>
      <c r="D115" t="str">
        <f>IF(A107&lt;2,"от -52 до +60 °C (низкотемпературный диапазон)","")</f>
        <v>от -52 до +60 °C (низкотемпературный диапазон)</v>
      </c>
      <c r="E115" t="str">
        <f>IF(A107&lt;2,", Н","")</f>
        <v>, Н</v>
      </c>
      <c r="F115" s="34"/>
      <c r="G115" s="34"/>
      <c r="H115" s="34"/>
      <c r="I115" s="33"/>
      <c r="J115" s="33"/>
      <c r="K115" s="34"/>
      <c r="L115" s="34"/>
      <c r="M115" s="34"/>
      <c r="N115" s="33"/>
    </row>
    <row r="116" spans="1:14" ht="15.75" x14ac:dyDescent="0.25">
      <c r="C116" s="1"/>
      <c r="D116" t="str">
        <f>IF(A107&lt;2,"от -56 до +60 °C (расширенный низкотемпературный диапазон)","")</f>
        <v>от -56 до +60 °C (расширенный низкотемпературный диапазон)</v>
      </c>
      <c r="E116" t="str">
        <f>IF(A107&lt;2,", РН","")</f>
        <v>, РН</v>
      </c>
      <c r="F116" s="34"/>
      <c r="G116" s="34"/>
      <c r="H116" s="34"/>
      <c r="I116" s="33"/>
      <c r="J116" s="33"/>
      <c r="K116" s="34"/>
      <c r="L116" s="34"/>
      <c r="M116" s="34"/>
      <c r="N116" s="33"/>
    </row>
    <row r="117" spans="1:14" ht="15" x14ac:dyDescent="0.25">
      <c r="A117" s="22" t="s">
        <v>65</v>
      </c>
      <c r="B117" s="11"/>
      <c r="D117" s="5"/>
      <c r="F117" s="34"/>
      <c r="G117" s="34"/>
      <c r="H117" s="34"/>
      <c r="I117" s="33"/>
      <c r="J117" s="33"/>
      <c r="K117" s="34"/>
      <c r="L117" s="34"/>
      <c r="M117" s="34"/>
      <c r="N117" s="33"/>
    </row>
    <row r="118" spans="1:14" ht="13.5" thickBot="1" x14ac:dyDescent="0.25">
      <c r="A118">
        <v>1</v>
      </c>
      <c r="B118" s="10" t="str">
        <f>INDEX(D119:D122,A118,1)</f>
        <v>не требуется</v>
      </c>
      <c r="C118" s="64" t="str">
        <f>INDEX(Таблица7[Столбец2],A118,1)</f>
        <v/>
      </c>
      <c r="D118" t="s">
        <v>42</v>
      </c>
      <c r="E118" s="67" t="s">
        <v>43</v>
      </c>
    </row>
    <row r="119" spans="1:14" x14ac:dyDescent="0.2">
      <c r="D119" s="66" t="s">
        <v>12</v>
      </c>
      <c r="E119" s="68" t="s">
        <v>25</v>
      </c>
    </row>
    <row r="120" spans="1:14" x14ac:dyDescent="0.2">
      <c r="D120" s="65" t="s">
        <v>66</v>
      </c>
      <c r="E120" s="69" t="s">
        <v>102</v>
      </c>
    </row>
    <row r="121" spans="1:14" x14ac:dyDescent="0.2">
      <c r="D121" s="66" t="s">
        <v>67</v>
      </c>
      <c r="E121" s="68" t="s">
        <v>103</v>
      </c>
    </row>
    <row r="122" spans="1:14" x14ac:dyDescent="0.2">
      <c r="D122" s="65" t="s">
        <v>5</v>
      </c>
      <c r="E122" s="70" t="str">
        <f>"Крепление: "&amp;'Опросный лист термометр'!J47</f>
        <v xml:space="preserve">Крепление: </v>
      </c>
    </row>
    <row r="124" spans="1:14" x14ac:dyDescent="0.2">
      <c r="A124" s="22" t="s">
        <v>16</v>
      </c>
    </row>
    <row r="125" spans="1:14" ht="15.75" x14ac:dyDescent="0.25">
      <c r="A125" s="14">
        <v>1</v>
      </c>
      <c r="B125" s="35" t="str">
        <f>INDEX(Таблица12[Столбец1],A125,1)</f>
        <v>не требуется</v>
      </c>
      <c r="C125" s="15" t="str">
        <f>VLOOKUP(B125,Таблица12[],2,)</f>
        <v/>
      </c>
    </row>
    <row r="126" spans="1:14" ht="15.75" x14ac:dyDescent="0.25">
      <c r="B126" s="9"/>
      <c r="D126" t="s">
        <v>42</v>
      </c>
      <c r="E126" t="s">
        <v>43</v>
      </c>
    </row>
    <row r="127" spans="1:14" x14ac:dyDescent="0.2">
      <c r="D127" t="str">
        <f>IF(A82=1,"не требуется","")</f>
        <v>не требуется</v>
      </c>
      <c r="E127" s="39" t="s">
        <v>25</v>
      </c>
    </row>
    <row r="128" spans="1:14" ht="15.75" x14ac:dyDescent="0.25">
      <c r="C128" s="1"/>
      <c r="D128" t="str">
        <f>IF(A82=1,"требуется","")</f>
        <v>требуется</v>
      </c>
      <c r="E128" t="str">
        <f>IF(A82=1,", П","")</f>
        <v>, П</v>
      </c>
    </row>
    <row r="129" spans="1:5" ht="15.75" x14ac:dyDescent="0.25">
      <c r="C129" s="1"/>
    </row>
    <row r="130" spans="1:5" ht="15.75" x14ac:dyDescent="0.25">
      <c r="C130" s="1"/>
    </row>
    <row r="131" spans="1:5" ht="15.75" x14ac:dyDescent="0.25">
      <c r="C131" s="1"/>
    </row>
    <row r="132" spans="1:5" ht="15.75" x14ac:dyDescent="0.25">
      <c r="A132" s="64" t="str">
        <f ca="1">"Термометр ""Автон"" ("&amp;C15&amp;C23&amp;C82&amp;C4&amp;C48&amp;C65&amp;C89&amp;C99&amp;C75&amp;C113&amp;C125&amp;C107&amp;")"</f>
        <v>Термометр "Автон" (-40..+85C, 1C, ТЩ0-40мм-4мм, 1м, LoRa)</v>
      </c>
      <c r="C132" s="1"/>
    </row>
    <row r="133" spans="1:5" ht="15.75" x14ac:dyDescent="0.25">
      <c r="C133" s="1"/>
    </row>
    <row r="134" spans="1:5" ht="15.75" x14ac:dyDescent="0.25">
      <c r="A134" s="14" t="str">
        <f>IF(B4="другое","Требования к термощупу: "&amp;'Опросный лист термометр'!J20,"")</f>
        <v/>
      </c>
      <c r="C134" s="1"/>
    </row>
    <row r="135" spans="1:5" ht="15.75" x14ac:dyDescent="0.25">
      <c r="A135" s="14" t="str">
        <f ca="1">C74</f>
        <v/>
      </c>
      <c r="C135" s="1"/>
    </row>
    <row r="136" spans="1:5" ht="15.75" x14ac:dyDescent="0.25">
      <c r="A136" s="14" t="str">
        <f>C30</f>
        <v/>
      </c>
      <c r="C136" s="1"/>
    </row>
    <row r="137" spans="1:5" ht="15.75" x14ac:dyDescent="0.25">
      <c r="A137" s="14" t="str">
        <f>C39</f>
        <v/>
      </c>
      <c r="C137" s="1"/>
    </row>
    <row r="138" spans="1:5" ht="15.75" x14ac:dyDescent="0.25">
      <c r="C138" s="1"/>
    </row>
    <row r="139" spans="1:5" x14ac:dyDescent="0.2">
      <c r="A139" s="95" t="s">
        <v>72</v>
      </c>
    </row>
    <row r="140" spans="1:5" ht="15.75" customHeight="1" x14ac:dyDescent="0.2">
      <c r="A140" s="103">
        <v>45425</v>
      </c>
      <c r="B140" s="165" t="s">
        <v>73</v>
      </c>
      <c r="C140" s="165"/>
      <c r="D140" s="165"/>
      <c r="E140" s="165"/>
    </row>
    <row r="141" spans="1:5" ht="39.75" customHeight="1" x14ac:dyDescent="0.2">
      <c r="A141" s="103">
        <v>45457</v>
      </c>
      <c r="B141" s="163" t="s">
        <v>93</v>
      </c>
      <c r="C141" s="163"/>
      <c r="D141" s="163"/>
      <c r="E141" s="163"/>
    </row>
    <row r="142" spans="1:5" x14ac:dyDescent="0.2">
      <c r="A142" s="103">
        <v>45518</v>
      </c>
      <c r="B142" s="163" t="s">
        <v>94</v>
      </c>
      <c r="C142" s="163"/>
      <c r="D142" s="163"/>
      <c r="E142" s="163"/>
    </row>
    <row r="143" spans="1:5" x14ac:dyDescent="0.2">
      <c r="A143" s="103">
        <v>45532</v>
      </c>
      <c r="B143" s="163" t="s">
        <v>95</v>
      </c>
      <c r="C143" s="163"/>
      <c r="D143" s="163"/>
      <c r="E143" s="163"/>
    </row>
    <row r="144" spans="1:5" x14ac:dyDescent="0.2">
      <c r="A144" s="103">
        <v>45603</v>
      </c>
      <c r="B144" s="163" t="s">
        <v>98</v>
      </c>
      <c r="C144" s="163"/>
      <c r="D144" s="163"/>
      <c r="E144" s="163"/>
    </row>
    <row r="145" spans="1:5" x14ac:dyDescent="0.2">
      <c r="A145" s="103">
        <v>45638</v>
      </c>
      <c r="B145" s="163" t="s">
        <v>99</v>
      </c>
      <c r="C145" s="163"/>
      <c r="D145" s="163"/>
      <c r="E145" s="163"/>
    </row>
    <row r="146" spans="1:5" x14ac:dyDescent="0.2">
      <c r="A146" s="103">
        <v>45645</v>
      </c>
      <c r="B146" s="163" t="s">
        <v>101</v>
      </c>
      <c r="C146" s="163"/>
      <c r="D146" s="163"/>
      <c r="E146" s="163"/>
    </row>
    <row r="147" spans="1:5" ht="24.75" customHeight="1" x14ac:dyDescent="0.2">
      <c r="A147" s="103">
        <v>45679</v>
      </c>
      <c r="B147" s="163" t="s">
        <v>106</v>
      </c>
      <c r="C147" s="163"/>
      <c r="D147" s="163"/>
      <c r="E147" s="163"/>
    </row>
    <row r="148" spans="1:5" x14ac:dyDescent="0.2">
      <c r="A148" s="136">
        <v>45735</v>
      </c>
      <c r="B148" s="121" t="s">
        <v>107</v>
      </c>
    </row>
    <row r="149" spans="1:5" x14ac:dyDescent="0.2">
      <c r="A149" s="136">
        <v>45777</v>
      </c>
      <c r="B149" s="121" t="s">
        <v>109</v>
      </c>
    </row>
    <row r="164" spans="1:2" ht="17.25" x14ac:dyDescent="0.3">
      <c r="A164" s="4"/>
      <c r="B164" s="12"/>
    </row>
  </sheetData>
  <mergeCells count="9">
    <mergeCell ref="B147:E147"/>
    <mergeCell ref="B146:E146"/>
    <mergeCell ref="B145:E145"/>
    <mergeCell ref="B144:E144"/>
    <mergeCell ref="A1:B1"/>
    <mergeCell ref="B140:E140"/>
    <mergeCell ref="B141:E141"/>
    <mergeCell ref="B142:E142"/>
    <mergeCell ref="B143:E143"/>
  </mergeCells>
  <pageMargins left="0.7" right="0.7" top="0.75" bottom="0.75" header="0.3" footer="0.3"/>
  <pageSetup paperSize="9" orientation="portrait" r:id="rId1"/>
  <tableParts count="16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E14"/>
  <sheetViews>
    <sheetView zoomScaleNormal="100" workbookViewId="0">
      <selection activeCell="E23" sqref="E23"/>
    </sheetView>
  </sheetViews>
  <sheetFormatPr defaultRowHeight="12.75" x14ac:dyDescent="0.2"/>
  <cols>
    <col min="1" max="1" width="5.28515625" customWidth="1"/>
    <col min="2" max="2" width="3.85546875" customWidth="1"/>
    <col min="3" max="3" width="35.85546875" customWidth="1"/>
    <col min="4" max="4" width="4.85546875" customWidth="1"/>
    <col min="5" max="5" width="48" customWidth="1"/>
  </cols>
  <sheetData>
    <row r="1" spans="1:5" ht="18" x14ac:dyDescent="0.2">
      <c r="A1" s="13" t="s">
        <v>38</v>
      </c>
    </row>
    <row r="2" spans="1:5" ht="18" x14ac:dyDescent="0.2">
      <c r="A2" s="13"/>
    </row>
    <row r="3" spans="1:5" ht="18" x14ac:dyDescent="0.2">
      <c r="A3" s="13"/>
      <c r="B3" s="19" t="s">
        <v>92</v>
      </c>
      <c r="C3" s="105"/>
      <c r="D3" s="105"/>
      <c r="E3" s="105"/>
    </row>
    <row r="4" spans="1:5" ht="174" customHeight="1" x14ac:dyDescent="0.2">
      <c r="A4" s="13"/>
      <c r="C4" s="167"/>
      <c r="D4" s="167"/>
      <c r="E4" s="167"/>
    </row>
    <row r="5" spans="1:5" ht="11.25" customHeight="1" x14ac:dyDescent="0.2">
      <c r="A5" s="13"/>
    </row>
    <row r="6" spans="1:5" ht="21" customHeight="1" x14ac:dyDescent="0.2">
      <c r="B6" s="19" t="s">
        <v>39</v>
      </c>
    </row>
    <row r="7" spans="1:5" s="20" customFormat="1" ht="148.5" customHeight="1" x14ac:dyDescent="0.2">
      <c r="C7" s="21" t="s">
        <v>17</v>
      </c>
      <c r="E7" s="21"/>
    </row>
    <row r="8" spans="1:5" x14ac:dyDescent="0.2">
      <c r="B8" s="22"/>
    </row>
    <row r="9" spans="1:5" ht="18" customHeight="1" x14ac:dyDescent="0.2">
      <c r="B9" s="19" t="s">
        <v>100</v>
      </c>
    </row>
    <row r="10" spans="1:5" ht="137.25" customHeight="1" x14ac:dyDescent="0.2">
      <c r="B10" s="166"/>
      <c r="C10" s="166"/>
      <c r="D10" s="166"/>
      <c r="E10" s="166"/>
    </row>
    <row r="11" spans="1:5" x14ac:dyDescent="0.2">
      <c r="B11" s="22"/>
    </row>
    <row r="12" spans="1:5" ht="14.25" x14ac:dyDescent="0.2">
      <c r="B12" s="19" t="s">
        <v>68</v>
      </c>
      <c r="C12" s="71"/>
    </row>
    <row r="13" spans="1:5" ht="14.25" x14ac:dyDescent="0.2">
      <c r="A13" s="72"/>
      <c r="C13" s="121" t="s">
        <v>104</v>
      </c>
      <c r="E13" s="121" t="s">
        <v>105</v>
      </c>
    </row>
    <row r="14" spans="1:5" ht="407.25" customHeight="1" x14ac:dyDescent="0.2">
      <c r="A14" s="72"/>
      <c r="B14" s="72"/>
    </row>
  </sheetData>
  <mergeCells count="2">
    <mergeCell ref="B10:E10"/>
    <mergeCell ref="C4:E4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4294967292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Опросный лист термометр</vt:lpstr>
      <vt:lpstr>Лист1</vt:lpstr>
      <vt:lpstr>Справка</vt:lpstr>
      <vt:lpstr>Варианты_креплений</vt:lpstr>
      <vt:lpstr>Габаритные_размеры_ТЩ0</vt:lpstr>
      <vt:lpstr>Справка!Область_печати</vt:lpstr>
      <vt:lpstr>Способы_крепления_термощупа</vt:lpstr>
      <vt:lpstr>Термометры_с_одним__двумя_и_четырьмя_термопреобразователями</vt:lpstr>
    </vt:vector>
  </TitlesOfParts>
  <Company>нефтегаз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</dc:creator>
  <cp:lastModifiedBy>Кукина Ольга</cp:lastModifiedBy>
  <cp:lastPrinted>2024-03-29T08:32:42Z</cp:lastPrinted>
  <dcterms:created xsi:type="dcterms:W3CDTF">2008-11-24T06:26:29Z</dcterms:created>
  <dcterms:modified xsi:type="dcterms:W3CDTF">2025-04-30T06:24:51Z</dcterms:modified>
</cp:coreProperties>
</file>