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70" windowWidth="13275" windowHeight="9705"/>
  </bookViews>
  <sheets>
    <sheet name="Опросный лист сигнализатор" sheetId="2" r:id="rId1"/>
    <sheet name="Лист1" sheetId="4" state="hidden" r:id="rId2"/>
    <sheet name="Справка" sheetId="5" r:id="rId3"/>
  </sheets>
  <externalReferences>
    <externalReference r:id="rId4"/>
    <externalReference r:id="rId5"/>
  </externalReferences>
  <definedNames>
    <definedName name="Test" localSheetId="1">#REF!</definedName>
    <definedName name="Test" localSheetId="2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 localSheetId="2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абаритные_размеры_датчика_наличия_жидкости_в_емкости_трубе_с_подвижным_штуцером">Справка!$A$3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 localSheetId="2">'[2]Опросный лист амперметр'!#REF!</definedName>
    <definedName name="Конструктивное_исполнение">'Опросный лист сигнализатор'!#REF!</definedName>
    <definedName name="_xlnm.Print_Area" localSheetId="1">Лист1!#REF!</definedName>
    <definedName name="_xlnm.Print_Area" localSheetId="0">'Опросный лист сигнализатор'!$A$2:$I$46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 localSheetId="2">'[2]Опросный лист амперметр'!#REF!</definedName>
    <definedName name="Температура_Диапазон">'Опросный лист сигнализатор'!#REF!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Q24" i="4" l="1"/>
  <c r="E24" i="4" s="1"/>
  <c r="D23" i="4"/>
  <c r="E23" i="4"/>
  <c r="E22" i="4" l="1"/>
  <c r="D22" i="4"/>
  <c r="C44" i="2" l="1"/>
  <c r="E58" i="4" l="1"/>
  <c r="E59" i="4"/>
  <c r="D58" i="4"/>
  <c r="D59" i="4"/>
  <c r="B51" i="4"/>
  <c r="C45" i="2" l="1"/>
  <c r="P16" i="4"/>
  <c r="B10" i="2"/>
  <c r="N17" i="4"/>
  <c r="M17" i="4"/>
  <c r="E66" i="4"/>
  <c r="E48" i="4"/>
  <c r="E42" i="4"/>
  <c r="B12" i="2"/>
  <c r="D15" i="4" l="1"/>
  <c r="B70" i="4" l="1"/>
  <c r="C70" i="4" s="1"/>
  <c r="B62" i="4"/>
  <c r="C62" i="4" s="1"/>
  <c r="A80" i="4" s="1"/>
  <c r="C42" i="2" s="1"/>
  <c r="C56" i="4"/>
  <c r="B56" i="4"/>
  <c r="C51" i="4"/>
  <c r="B45" i="4"/>
  <c r="C45" i="4" s="1"/>
  <c r="B35" i="4"/>
  <c r="C35" i="4" s="1"/>
  <c r="D24" i="4"/>
  <c r="E21" i="4"/>
  <c r="D21" i="4"/>
  <c r="E31" i="4"/>
  <c r="D31" i="4"/>
  <c r="E27" i="4"/>
  <c r="D27" i="4"/>
  <c r="E17" i="4"/>
  <c r="D17" i="4"/>
  <c r="E16" i="4"/>
  <c r="D16" i="4"/>
  <c r="B14" i="4" s="1"/>
  <c r="E15" i="4"/>
  <c r="B4" i="4"/>
  <c r="C4" i="4" s="1"/>
  <c r="B20" i="4" l="1"/>
  <c r="C21" i="4" s="1"/>
  <c r="C30" i="4"/>
  <c r="C20" i="4"/>
  <c r="B30" i="4"/>
  <c r="B26" i="4"/>
  <c r="C26" i="4"/>
  <c r="C14" i="4"/>
  <c r="A78" i="4" s="1"/>
  <c r="C40" i="2" s="1"/>
  <c r="C5" i="4"/>
  <c r="A76" i="4"/>
  <c r="B76" i="4"/>
  <c r="A79" i="4" l="1"/>
  <c r="C41" i="2" s="1"/>
  <c r="C13" i="2"/>
  <c r="A74" i="4"/>
  <c r="C38" i="2" s="1"/>
</calcChain>
</file>

<file path=xl/comments1.xml><?xml version="1.0" encoding="utf-8"?>
<comments xmlns="http://schemas.openxmlformats.org/spreadsheetml/2006/main">
  <authors>
    <author>Кукина Ольга</author>
  </authors>
  <commentList>
    <comment ref="A22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</commentList>
</comments>
</file>

<file path=xl/sharedStrings.xml><?xml version="1.0" encoding="utf-8"?>
<sst xmlns="http://schemas.openxmlformats.org/spreadsheetml/2006/main" count="316" uniqueCount="108">
  <si>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</si>
  <si>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</si>
  <si>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</si>
  <si>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</si>
  <si>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</si>
  <si>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другое</t>
  </si>
  <si>
    <t>другая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</si>
  <si>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</si>
  <si>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</si>
  <si>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</si>
  <si>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</si>
  <si>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</si>
  <si>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</si>
  <si>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</si>
  <si>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труба гофрированная полимерная</t>
  </si>
  <si>
    <t xml:space="preserve">другая </t>
  </si>
  <si>
    <t>Длина кабеля, м</t>
  </si>
  <si>
    <t>Выбранный вариант</t>
  </si>
  <si>
    <t>В спецификацию</t>
  </si>
  <si>
    <t/>
  </si>
  <si>
    <t>Кронштейн для крепления</t>
  </si>
  <si>
    <t>требуется</t>
  </si>
  <si>
    <t xml:space="preserve">Опросный лист на Сигнализатор "Автон" </t>
  </si>
  <si>
    <t>Конструктивное исполнение чувствительного элемента</t>
  </si>
  <si>
    <t>Опции</t>
  </si>
  <si>
    <t>Щ1</t>
  </si>
  <si>
    <t>Щ0</t>
  </si>
  <si>
    <t>ЩX</t>
  </si>
  <si>
    <t>Столбец1</t>
  </si>
  <si>
    <t>Столбец2</t>
  </si>
  <si>
    <t>, 1м</t>
  </si>
  <si>
    <t>, 2м</t>
  </si>
  <si>
    <t>, 3м</t>
  </si>
  <si>
    <t>, 5м</t>
  </si>
  <si>
    <t>, 7м</t>
  </si>
  <si>
    <t>, 10м</t>
  </si>
  <si>
    <t>, ТГ</t>
  </si>
  <si>
    <t>Прочая арматура</t>
  </si>
  <si>
    <t>, LoRa</t>
  </si>
  <si>
    <t>Комплектация:</t>
  </si>
  <si>
    <t>Паспорт</t>
  </si>
  <si>
    <t>Передача данных</t>
  </si>
  <si>
    <t>LoRaWAN + Bluetooth Low Energy</t>
  </si>
  <si>
    <t>NB-IoT + Bluetooth Low Energy</t>
  </si>
  <si>
    <t>, NB-IoT</t>
  </si>
  <si>
    <t>Дополнительная комплектация:</t>
  </si>
  <si>
    <t>Магнит в комплекте</t>
  </si>
  <si>
    <t>Ø20×3 мм</t>
  </si>
  <si>
    <r>
      <t>, АП</t>
    </r>
    <r>
      <rPr>
        <b/>
        <sz val="10"/>
        <rFont val="Arial"/>
        <family val="2"/>
        <charset val="204"/>
      </rPr>
      <t>X</t>
    </r>
  </si>
  <si>
    <t>другой</t>
  </si>
  <si>
    <t>Магнит: Ø20×3 мм</t>
  </si>
  <si>
    <t>Ø15×10 мм (по умолчанию)</t>
  </si>
  <si>
    <t>Поплавок Ø30×30 мм (по умолчанию)</t>
  </si>
  <si>
    <t>Рабочие условия эксплуатации</t>
  </si>
  <si>
    <t>Длина кабеля</t>
  </si>
  <si>
    <t>от -40 до +60 °C (индустриальный температурный диапазон)</t>
  </si>
  <si>
    <t>Щ2</t>
  </si>
  <si>
    <t>Щ3</t>
  </si>
  <si>
    <t>Щ4</t>
  </si>
  <si>
    <t>Длина щупа</t>
  </si>
  <si>
    <t>Диаметр щупа</t>
  </si>
  <si>
    <t>Крепление щупа</t>
  </si>
  <si>
    <t>Сигнализатор "Автон"</t>
  </si>
  <si>
    <t>Столбец3</t>
  </si>
  <si>
    <t>Сигнализатор наличия жидкости "Автон"</t>
  </si>
  <si>
    <t>Столбец4</t>
  </si>
  <si>
    <t>Преобразователь измерительный дискретного сигнала A555</t>
  </si>
  <si>
    <t>Преобразователь измерительный дискретного сигнала с датчиком Холла A555</t>
  </si>
  <si>
    <t>Столбец5</t>
  </si>
  <si>
    <t>Сборочная единица</t>
  </si>
  <si>
    <t>Сигнализатор дискретный A555.00.00</t>
  </si>
  <si>
    <t>Сигнализатор дискретный уровня масла A555.00.00-20</t>
  </si>
  <si>
    <t>Сигнализатор дискретный Холла A555.00.00-10</t>
  </si>
  <si>
    <t>Щ5</t>
  </si>
  <si>
    <t>Крепление</t>
  </si>
  <si>
    <t>Кронштейн</t>
  </si>
  <si>
    <t>Кронштейн магнитный</t>
  </si>
  <si>
    <t>Варианты креплений</t>
  </si>
  <si>
    <t>?</t>
  </si>
  <si>
    <t>История изменений:</t>
  </si>
  <si>
    <t>Заменила иллюстрацию магнитного крепления.</t>
  </si>
  <si>
    <t>Добавила номер версии на первую страницу.</t>
  </si>
  <si>
    <t>Актуализирована информация о сигнализаторе протечки.</t>
  </si>
  <si>
    <t>Сигнализатор наличия жидкости A555.00.00-30</t>
  </si>
  <si>
    <t>Старое наименование</t>
  </si>
  <si>
    <t>8 мм</t>
  </si>
  <si>
    <t>-8мм</t>
  </si>
  <si>
    <t>Убрала элементы ActiveX.</t>
  </si>
  <si>
    <t>Габаритные размеры Щ3 исправила с 130мм-10мм на 130мм-8мм.</t>
  </si>
  <si>
    <t>Сигнализатор протечки переименован обратно в сигнализатор наличия жидкости.</t>
  </si>
  <si>
    <t>Габаритные размеры датчика наличия жидкости на горизонтальной поверхности</t>
  </si>
  <si>
    <t>Габаритные размеры чувствительных элементов в виде гильзы</t>
  </si>
  <si>
    <t>нет</t>
  </si>
  <si>
    <t>Штуцер подвижный М20х1.5</t>
  </si>
  <si>
    <t>Габаритные размеры датчика наличия жидкости в емкости/трубе</t>
  </si>
  <si>
    <t>Кронштейн в сборе A550.02</t>
  </si>
  <si>
    <t>250 мм</t>
  </si>
  <si>
    <t>-250мм</t>
  </si>
  <si>
    <t>Конструктивное исполнение чувствительного элемента (щупа)</t>
  </si>
  <si>
    <t>Кронштейн для щупа</t>
  </si>
  <si>
    <t>Изменила габаритные размеры Щ3 на 250мм-8мм. Добавила пометку, что 202 - мм максимальный размер погружения с учётом длины подвижного штуцера и 222 мм - максимальный размер погружения с кронштейном.
Убрала выбор длины и диаметра щупа для Щ3.
Убрала параметры штуцера для Щ3 из наименования, вынесла его в дополнительную комплектацию.
Добавила кронштейн A550.02 для Щ3.
Добавила картинки с габаритными размерами.</t>
  </si>
  <si>
    <t xml:space="preserve">Заменила информацию о кронштейнах в связи с переходом на корпус из поликарбоната. </t>
  </si>
  <si>
    <t>Кронштейн в сборе K005.24</t>
  </si>
  <si>
    <t xml:space="preserve">Крепление магнитное K005.17-02 </t>
  </si>
  <si>
    <t>Кронштейн в сборе</t>
  </si>
  <si>
    <t>Крепление магнитное</t>
  </si>
  <si>
    <t>Версия: 29.04.2025</t>
  </si>
  <si>
    <t>Сжатие изображений.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</si>
</sst>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sz val="8"/>
      <color rgb="FF000000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1E1E1E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u/>
      <sz val="10"/>
      <color theme="10"/>
      <name val="Arial Cyr"/>
      <charset val="204"/>
    </font>
    <font>
      <b/>
      <sz val="16"/>
      <color rgb="FF00B050"/>
      <name val="Arial Cyr"/>
      <charset val="204"/>
    </font>
    <font>
      <sz val="9"/>
      <color indexed="81"/>
      <name val="Tahoma"/>
      <family val="2"/>
      <charset val="204"/>
    </font>
    <font>
      <b/>
      <sz val="12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rgb="FF00B050"/>
      <name val="Calibri"/>
      <family val="2"/>
      <charset val="204"/>
      <scheme val="minor"/>
    </font>
    <font>
      <b/>
      <sz val="10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20">
      <alignment horizontal="left" vertical="center"/>
      <protection locked="0"/>
    </xf>
  </cellStyleXfs>
  <cellXfs count="117">
    <xf numFmtId="0" fontId="0" fillId="0" borderId="0" xfId="0"/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NumberFormat="1" applyFont="1"/>
    <xf numFmtId="0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8" fillId="0" borderId="0" xfId="0" quotePrefix="1" applyFont="1"/>
    <xf numFmtId="0" fontId="8" fillId="5" borderId="0" xfId="0" applyFont="1" applyFill="1"/>
    <xf numFmtId="0" fontId="8" fillId="5" borderId="0" xfId="0" applyFont="1" applyFill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" fillId="3" borderId="0" xfId="0" applyFont="1" applyFill="1" applyAlignment="1">
      <alignment vertical="top" wrapText="1"/>
    </xf>
    <xf numFmtId="0" fontId="0" fillId="0" borderId="0" xfId="0" applyBorder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vertical="top" wrapText="1"/>
    </xf>
    <xf numFmtId="0" fontId="8" fillId="0" borderId="1" xfId="0" applyFont="1" applyBorder="1"/>
    <xf numFmtId="0" fontId="8" fillId="0" borderId="1" xfId="0" quotePrefix="1" applyFont="1" applyBorder="1"/>
    <xf numFmtId="0" fontId="8" fillId="0" borderId="0" xfId="0" applyNumberFormat="1" applyFont="1" applyAlignment="1">
      <alignment horizontal="left"/>
    </xf>
    <xf numFmtId="0" fontId="0" fillId="0" borderId="2" xfId="0" applyBorder="1" applyAlignment="1">
      <alignment horizontal="left"/>
    </xf>
    <xf numFmtId="0" fontId="8" fillId="0" borderId="1" xfId="0" applyFont="1" applyBorder="1" applyAlignment="1"/>
    <xf numFmtId="0" fontId="1" fillId="0" borderId="3" xfId="0" applyFont="1" applyBorder="1" applyAlignment="1"/>
    <xf numFmtId="0" fontId="11" fillId="0" borderId="0" xfId="0" applyFont="1" applyAlignment="1" applyProtection="1">
      <protection locked="0"/>
    </xf>
    <xf numFmtId="0" fontId="9" fillId="0" borderId="0" xfId="0" applyNumberFormat="1" applyFont="1"/>
    <xf numFmtId="0" fontId="0" fillId="0" borderId="3" xfId="0" applyBorder="1"/>
    <xf numFmtId="0" fontId="6" fillId="0" borderId="3" xfId="0" applyFont="1" applyBorder="1" applyAlignment="1">
      <alignment vertical="center"/>
    </xf>
    <xf numFmtId="0" fontId="0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 applyProtection="1">
      <protection locked="0"/>
    </xf>
    <xf numFmtId="0" fontId="4" fillId="0" borderId="3" xfId="0" applyFont="1" applyBorder="1"/>
    <xf numFmtId="0" fontId="1" fillId="0" borderId="3" xfId="0" applyFont="1" applyBorder="1" applyAlignment="1">
      <alignment vertical="top"/>
    </xf>
    <xf numFmtId="0" fontId="0" fillId="0" borderId="5" xfId="0" applyFill="1" applyBorder="1"/>
    <xf numFmtId="0" fontId="0" fillId="0" borderId="6" xfId="0" applyBorder="1"/>
    <xf numFmtId="0" fontId="0" fillId="3" borderId="4" xfId="0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7" xfId="0" applyFill="1" applyBorder="1"/>
    <xf numFmtId="0" fontId="0" fillId="3" borderId="13" xfId="0" applyFill="1" applyBorder="1"/>
    <xf numFmtId="0" fontId="8" fillId="3" borderId="0" xfId="0" applyFont="1" applyFill="1"/>
    <xf numFmtId="0" fontId="9" fillId="0" borderId="0" xfId="0" applyFont="1"/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right"/>
    </xf>
    <xf numFmtId="0" fontId="8" fillId="3" borderId="0" xfId="0" applyNumberFormat="1" applyFont="1" applyFill="1"/>
    <xf numFmtId="0" fontId="8" fillId="3" borderId="0" xfId="0" applyNumberFormat="1" applyFont="1" applyFill="1" applyAlignment="1">
      <alignment horizontal="left"/>
    </xf>
    <xf numFmtId="0" fontId="12" fillId="6" borderId="14" xfId="0" applyFont="1" applyFill="1" applyBorder="1"/>
    <xf numFmtId="0" fontId="12" fillId="0" borderId="14" xfId="0" applyFont="1" applyBorder="1"/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0" fillId="0" borderId="16" xfId="0" applyBorder="1"/>
    <xf numFmtId="0" fontId="14" fillId="0" borderId="0" xfId="0" applyFont="1"/>
    <xf numFmtId="0" fontId="16" fillId="0" borderId="3" xfId="1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18" fillId="7" borderId="17" xfId="0" applyFont="1" applyFill="1" applyBorder="1" applyAlignment="1">
      <alignment horizontal="right" vertical="center"/>
    </xf>
    <xf numFmtId="0" fontId="1" fillId="2" borderId="0" xfId="0" applyFont="1" applyFill="1"/>
    <xf numFmtId="0" fontId="4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21" xfId="0" applyBorder="1"/>
    <xf numFmtId="0" fontId="0" fillId="0" borderId="5" xfId="0" applyFont="1" applyBorder="1"/>
    <xf numFmtId="0" fontId="4" fillId="0" borderId="6" xfId="0" applyFont="1" applyBorder="1"/>
    <xf numFmtId="0" fontId="4" fillId="0" borderId="22" xfId="0" applyFont="1" applyBorder="1" applyProtection="1"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13" fillId="0" borderId="0" xfId="0" applyFont="1" applyAlignment="1"/>
    <xf numFmtId="0" fontId="8" fillId="4" borderId="0" xfId="0" applyFont="1" applyFill="1"/>
    <xf numFmtId="0" fontId="0" fillId="0" borderId="20" xfId="2" applyFont="1">
      <alignment horizontal="left" vertical="center"/>
      <protection locked="0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20" fillId="0" borderId="3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left"/>
    </xf>
    <xf numFmtId="0" fontId="22" fillId="0" borderId="0" xfId="0" quotePrefix="1" applyFont="1"/>
    <xf numFmtId="0" fontId="0" fillId="0" borderId="0" xfId="0" applyAlignment="1">
      <alignment horizontal="left"/>
    </xf>
    <xf numFmtId="0" fontId="1" fillId="0" borderId="17" xfId="0" applyFont="1" applyBorder="1" applyAlignment="1">
      <alignment horizontal="center"/>
    </xf>
    <xf numFmtId="0" fontId="1" fillId="4" borderId="11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0" fillId="0" borderId="23" xfId="2" applyFont="1" applyBorder="1" applyAlignment="1">
      <alignment horizontal="left" vertical="top"/>
      <protection locked="0"/>
    </xf>
    <xf numFmtId="0" fontId="19" fillId="0" borderId="24" xfId="2" applyBorder="1" applyAlignment="1">
      <alignment horizontal="left" vertical="top"/>
      <protection locked="0"/>
    </xf>
    <xf numFmtId="0" fontId="19" fillId="0" borderId="25" xfId="2" applyBorder="1" applyAlignment="1">
      <alignment horizontal="left" vertical="top"/>
      <protection locked="0"/>
    </xf>
    <xf numFmtId="0" fontId="0" fillId="0" borderId="20" xfId="2" applyFont="1">
      <alignment horizontal="left" vertical="center"/>
      <protection locked="0"/>
    </xf>
    <xf numFmtId="0" fontId="19" fillId="0" borderId="20" xfId="2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5" borderId="1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</cellXfs>
  <cellStyles count="3">
    <cellStyle name="Гиперссылка" xfId="1" builtinId="8"/>
    <cellStyle name="Обычный" xfId="0" builtinId="0"/>
    <cellStyle name="Поле ввода" xfId="2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16" fmlaLink="Лист1!$A$35" fmlaRange="Лист1!$D$36:$D$42" noThreeD="1" val="0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Drop" dropLines="10" dropStyle="combo" dx="16" fmlaLink="Лист1!$A$20" fmlaRange="Лист1!$D$21:$D$24" noThreeD="1" val="0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Drop" dropStyle="combo" dx="16" fmlaLink="Лист1!$A$45" fmlaRange="Лист1!$D$46:$D$48" noThreeD="1" val="0"/>
</file>

<file path=xl/ctrlProps/ctrlProp3.xml><?xml version="1.0" encoding="utf-8"?>
<formControlPr xmlns="http://schemas.microsoft.com/office/spreadsheetml/2009/9/main" objectType="Drop" dropStyle="combo" dx="16" fmlaLink="Лист1!$A$62" fmlaRange="Лист1!$D$63:$D$66" noThreeD="1" val="0"/>
</file>

<file path=xl/ctrlProps/ctrlProp4.xml><?xml version="1.0" encoding="utf-8"?>
<formControlPr xmlns="http://schemas.microsoft.com/office/spreadsheetml/2009/9/main" objectType="Radio" checked="Checked" firstButton="1" fmlaLink="Лист1!$A$4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Drop" dropLines="10" dropStyle="combo" dx="16" fmlaLink="Лист1!$A$51" fmlaRange="Лист1!$D$52:$D$53" noThreeD="1" val="0"/>
</file>

<file path=xl/ctrlProps/ctrlProp8.xml><?xml version="1.0" encoding="utf-8"?>
<formControlPr xmlns="http://schemas.microsoft.com/office/spreadsheetml/2009/9/main" objectType="Drop" dropLines="10" dropStyle="combo" dx="16" fmlaLink="Лист1!$A$14" fmlaRange="Лист1!$D$15:$D$17" noThreeD="1" val="0"/>
</file>

<file path=xl/ctrlProps/ctrlProp9.xml><?xml version="1.0" encoding="utf-8"?>
<formControlPr xmlns="http://schemas.microsoft.com/office/spreadsheetml/2009/9/main" objectType="Drop" dropLines="10" dropStyle="combo" dx="16" fmlaLink="Лист1!$A$56" fmlaRange="Лист1!$D$57:$D$59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9.png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13</xdr:row>
          <xdr:rowOff>28575</xdr:rowOff>
        </xdr:from>
        <xdr:to>
          <xdr:col>7</xdr:col>
          <xdr:colOff>85725</xdr:colOff>
          <xdr:row>13</xdr:row>
          <xdr:rowOff>295275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15</xdr:row>
          <xdr:rowOff>28575</xdr:rowOff>
        </xdr:from>
        <xdr:to>
          <xdr:col>7</xdr:col>
          <xdr:colOff>76200</xdr:colOff>
          <xdr:row>15</xdr:row>
          <xdr:rowOff>285750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21</xdr:row>
          <xdr:rowOff>28575</xdr:rowOff>
        </xdr:from>
        <xdr:to>
          <xdr:col>7</xdr:col>
          <xdr:colOff>76200</xdr:colOff>
          <xdr:row>21</xdr:row>
          <xdr:rowOff>285750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171450</xdr:rowOff>
        </xdr:from>
        <xdr:to>
          <xdr:col>5</xdr:col>
          <xdr:colOff>466725</xdr:colOff>
          <xdr:row>4</xdr:row>
          <xdr:rowOff>371475</xdr:rowOff>
        </xdr:to>
        <xdr:sp macro="" textlink="">
          <xdr:nvSpPr>
            <xdr:cNvPr id="2126" name="Option Button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 виде гильзы, комплектуется магнитом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7</xdr:col>
          <xdr:colOff>76200</xdr:colOff>
          <xdr:row>8</xdr:row>
          <xdr:rowOff>38100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57150</xdr:rowOff>
        </xdr:from>
        <xdr:to>
          <xdr:col>6</xdr:col>
          <xdr:colOff>2343150</xdr:colOff>
          <xdr:row>4</xdr:row>
          <xdr:rowOff>466725</xdr:rowOff>
        </xdr:to>
        <xdr:sp macro="" textlink="">
          <xdr:nvSpPr>
            <xdr:cNvPr id="2128" name="Option Butto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 виде гильзы с резьбой М10х1,5, комплектуется магнитом и двумя гайками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17</xdr:row>
          <xdr:rowOff>28575</xdr:rowOff>
        </xdr:from>
        <xdr:to>
          <xdr:col>7</xdr:col>
          <xdr:colOff>85725</xdr:colOff>
          <xdr:row>17</xdr:row>
          <xdr:rowOff>295275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6</xdr:col>
      <xdr:colOff>293823</xdr:colOff>
      <xdr:row>5</xdr:row>
      <xdr:rowOff>946905</xdr:rowOff>
    </xdr:from>
    <xdr:to>
      <xdr:col>6</xdr:col>
      <xdr:colOff>2038350</xdr:colOff>
      <xdr:row>6</xdr:row>
      <xdr:rowOff>208943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9498" y="3547230"/>
          <a:ext cx="1744527" cy="16337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28575</xdr:rowOff>
        </xdr:from>
        <xdr:to>
          <xdr:col>7</xdr:col>
          <xdr:colOff>85725</xdr:colOff>
          <xdr:row>9</xdr:row>
          <xdr:rowOff>295275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19</xdr:row>
          <xdr:rowOff>28575</xdr:rowOff>
        </xdr:from>
        <xdr:to>
          <xdr:col>7</xdr:col>
          <xdr:colOff>85725</xdr:colOff>
          <xdr:row>19</xdr:row>
          <xdr:rowOff>295275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238125</xdr:colOff>
      <xdr:row>5</xdr:row>
      <xdr:rowOff>523876</xdr:rowOff>
    </xdr:from>
    <xdr:to>
      <xdr:col>5</xdr:col>
      <xdr:colOff>1071296</xdr:colOff>
      <xdr:row>5</xdr:row>
      <xdr:rowOff>2228850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124201"/>
          <a:ext cx="2604821" cy="17049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323850</xdr:rowOff>
        </xdr:from>
        <xdr:to>
          <xdr:col>5</xdr:col>
          <xdr:colOff>476250</xdr:colOff>
          <xdr:row>5</xdr:row>
          <xdr:rowOff>523875</xdr:rowOff>
        </xdr:to>
        <xdr:sp macro="" textlink="">
          <xdr:nvSpPr>
            <xdr:cNvPr id="2156" name="Option Button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"сухой контакт"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142875</xdr:rowOff>
        </xdr:from>
        <xdr:to>
          <xdr:col>6</xdr:col>
          <xdr:colOff>2533650</xdr:colOff>
          <xdr:row>5</xdr:row>
          <xdr:rowOff>847725</xdr:rowOff>
        </xdr:to>
        <xdr:sp macro="" textlink="">
          <xdr:nvSpPr>
            <xdr:cNvPr id="2157" name="Option Button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 виде гильзы с торцевым креплением на цилиндрическую поверхность для контроля уровня жидкости в байпасных уровнемерах, комплектуется магнитом на поплавке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257175</xdr:rowOff>
        </xdr:from>
        <xdr:to>
          <xdr:col>5</xdr:col>
          <xdr:colOff>523875</xdr:colOff>
          <xdr:row>6</xdr:row>
          <xdr:rowOff>457200</xdr:rowOff>
        </xdr:to>
        <xdr:sp macro="" textlink="">
          <xdr:nvSpPr>
            <xdr:cNvPr id="2159" name="Option Butto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датчик наличия жидкости в емкости/трубе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</xdr:row>
          <xdr:rowOff>2295525</xdr:rowOff>
        </xdr:from>
        <xdr:to>
          <xdr:col>6</xdr:col>
          <xdr:colOff>2419350</xdr:colOff>
          <xdr:row>6</xdr:row>
          <xdr:rowOff>819150</xdr:rowOff>
        </xdr:to>
        <xdr:sp macro="" textlink="">
          <xdr:nvSpPr>
            <xdr:cNvPr id="2161" name="Option Button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датчик наличия жидкости на горизонтальной поверхности (датчик протечки)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369781</xdr:colOff>
      <xdr:row>6</xdr:row>
      <xdr:rowOff>542925</xdr:rowOff>
    </xdr:from>
    <xdr:to>
      <xdr:col>6</xdr:col>
      <xdr:colOff>2637929</xdr:colOff>
      <xdr:row>6</xdr:row>
      <xdr:rowOff>1962150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5456" y="5514975"/>
          <a:ext cx="2268148" cy="14192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11</xdr:row>
          <xdr:rowOff>28575</xdr:rowOff>
        </xdr:from>
        <xdr:to>
          <xdr:col>7</xdr:col>
          <xdr:colOff>85725</xdr:colOff>
          <xdr:row>11</xdr:row>
          <xdr:rowOff>295275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</xdr:row>
          <xdr:rowOff>2247900</xdr:rowOff>
        </xdr:from>
        <xdr:to>
          <xdr:col>5</xdr:col>
          <xdr:colOff>514350</xdr:colOff>
          <xdr:row>8</xdr:row>
          <xdr:rowOff>9525</xdr:rowOff>
        </xdr:to>
        <xdr:sp macro="" textlink="">
          <xdr:nvSpPr>
            <xdr:cNvPr id="2168" name="Option Butto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другой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314325</xdr:colOff>
      <xdr:row>4</xdr:row>
      <xdr:rowOff>457200</xdr:rowOff>
    </xdr:from>
    <xdr:to>
      <xdr:col>6</xdr:col>
      <xdr:colOff>2375622</xdr:colOff>
      <xdr:row>5</xdr:row>
      <xdr:rowOff>180975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1466850"/>
          <a:ext cx="2061297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4</xdr:row>
      <xdr:rowOff>413931</xdr:rowOff>
    </xdr:from>
    <xdr:to>
      <xdr:col>5</xdr:col>
      <xdr:colOff>459415</xdr:colOff>
      <xdr:row>5</xdr:row>
      <xdr:rowOff>161925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49" y="1423581"/>
          <a:ext cx="2040566" cy="1338669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6</xdr:row>
      <xdr:rowOff>476250</xdr:rowOff>
    </xdr:from>
    <xdr:to>
      <xdr:col>5</xdr:col>
      <xdr:colOff>1028733</xdr:colOff>
      <xdr:row>7</xdr:row>
      <xdr:rowOff>76200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1" y="5667375"/>
          <a:ext cx="2638457" cy="185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242408</xdr:colOff>
      <xdr:row>6</xdr:row>
      <xdr:rowOff>57150</xdr:rowOff>
    </xdr:from>
    <xdr:to>
      <xdr:col>2</xdr:col>
      <xdr:colOff>378904</xdr:colOff>
      <xdr:row>6</xdr:row>
      <xdr:rowOff>2409825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08" y="2152650"/>
          <a:ext cx="2460596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194394</xdr:colOff>
      <xdr:row>1</xdr:row>
      <xdr:rowOff>42973</xdr:rowOff>
    </xdr:from>
    <xdr:to>
      <xdr:col>1</xdr:col>
      <xdr:colOff>1625576</xdr:colOff>
      <xdr:row>1</xdr:row>
      <xdr:rowOff>961394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94" y="385873"/>
          <a:ext cx="1745507" cy="918421"/>
        </a:xfrm>
        <a:prstGeom prst="rect">
          <a:avLst/>
        </a:prstGeom>
      </xdr:spPr>
    </xdr:pic>
    <xdr:clientData/>
  </xdr:twoCellAnchor>
  <xdr:twoCellAnchor editAs="oneCell">
    <xdr:from>
      <xdr:col>2</xdr:col>
      <xdr:colOff>115720</xdr:colOff>
      <xdr:row>1</xdr:row>
      <xdr:rowOff>35116</xdr:rowOff>
    </xdr:from>
    <xdr:to>
      <xdr:col>2</xdr:col>
      <xdr:colOff>3075037</xdr:colOff>
      <xdr:row>1</xdr:row>
      <xdr:rowOff>1866900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9820" y="378016"/>
          <a:ext cx="2959317" cy="1831784"/>
        </a:xfrm>
        <a:prstGeom prst="rect">
          <a:avLst/>
        </a:prstGeom>
      </xdr:spPr>
    </xdr:pic>
    <xdr:clientData/>
  </xdr:twoCellAnchor>
  <xdr:twoCellAnchor editAs="oneCell">
    <xdr:from>
      <xdr:col>0</xdr:col>
      <xdr:colOff>34217</xdr:colOff>
      <xdr:row>4</xdr:row>
      <xdr:rowOff>47624</xdr:rowOff>
    </xdr:from>
    <xdr:to>
      <xdr:col>1</xdr:col>
      <xdr:colOff>1783286</xdr:colOff>
      <xdr:row>4</xdr:row>
      <xdr:rowOff>3562350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17" y="6438899"/>
          <a:ext cx="2063394" cy="351472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38101</xdr:rowOff>
    </xdr:from>
    <xdr:to>
      <xdr:col>2</xdr:col>
      <xdr:colOff>3696728</xdr:colOff>
      <xdr:row>3</xdr:row>
      <xdr:rowOff>3743325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2609851"/>
          <a:ext cx="5516003" cy="370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4</xdr:row>
      <xdr:rowOff>75773</xdr:rowOff>
    </xdr:from>
    <xdr:to>
      <xdr:col>2</xdr:col>
      <xdr:colOff>4114801</xdr:colOff>
      <xdr:row>4</xdr:row>
      <xdr:rowOff>3663608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5025" y="6467048"/>
          <a:ext cx="4333876" cy="358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9</xdr:row>
      <xdr:rowOff>57150</xdr:rowOff>
    </xdr:from>
    <xdr:to>
      <xdr:col>2</xdr:col>
      <xdr:colOff>2108994</xdr:colOff>
      <xdr:row>9</xdr:row>
      <xdr:rowOff>1451769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726" y="13373100"/>
          <a:ext cx="2061368" cy="139461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66674</xdr:rowOff>
    </xdr:from>
    <xdr:to>
      <xdr:col>1</xdr:col>
      <xdr:colOff>1982788</xdr:colOff>
      <xdr:row>9</xdr:row>
      <xdr:rowOff>1650205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3382624"/>
          <a:ext cx="1944688" cy="158353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1704976</xdr:rowOff>
    </xdr:from>
    <xdr:to>
      <xdr:col>1</xdr:col>
      <xdr:colOff>1683544</xdr:colOff>
      <xdr:row>9</xdr:row>
      <xdr:rowOff>5091476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15020926"/>
          <a:ext cx="1569244" cy="3386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318924</xdr:colOff>
      <xdr:row>9</xdr:row>
      <xdr:rowOff>1704976</xdr:rowOff>
    </xdr:from>
    <xdr:to>
      <xdr:col>2</xdr:col>
      <xdr:colOff>2266949</xdr:colOff>
      <xdr:row>9</xdr:row>
      <xdr:rowOff>5091474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3024" y="15020926"/>
          <a:ext cx="1948025" cy="3386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4;&#1087;&#1077;&#1088;&#1084;&#1077;&#1090;&#1088;%20&#1073;&#1077;&#1089;&#1082;&#1086;&#1085;&#1090;&#1072;&#1082;&#1090;&#1085;&#1099;&#1081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амперметр"/>
      <sheetName val="Лист1"/>
      <sheetName val="Справка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0" name="Таблица111" displayName="Таблица111" ref="D4:H11" totalsRowShown="0" headerRowDxfId="46" dataDxfId="45">
  <autoFilter ref="D4:H11"/>
  <tableColumns count="5">
    <tableColumn id="1" name="Столбец1" dataDxfId="44"/>
    <tableColumn id="2" name="Столбец2" dataDxfId="43"/>
    <tableColumn id="3" name="Столбец3" dataDxfId="42"/>
    <tableColumn id="4" name="Столбец4" dataDxfId="41"/>
    <tableColumn id="5" name="Столбец5" dataDxfId="40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21" name="Таблица81222" displayName="Таблица81222" ref="D30:E31" totalsRowShown="0" headerRowDxfId="7" dataDxfId="6">
  <autoFilter ref="D30:E31"/>
  <tableColumns count="2">
    <tableColumn id="1" name="Столбец1" dataDxfId="5">
      <calculatedColumnFormula>OFFSET(F31,0,$A$4-1,,)</calculatedColumnFormula>
    </tableColumn>
    <tableColumn id="2" name="Столбец2" dataDxfId="4">
      <calculatedColumnFormula>OFFSET(M31,0,$A$4-1,,)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22" name="Таблица8121323" displayName="Таблица8121323" ref="D20:E24" totalsRowShown="0" headerRowDxfId="3" dataDxfId="2">
  <autoFilter ref="D20:E24"/>
  <tableColumns count="2">
    <tableColumn id="1" name="Столбец1" dataDxfId="1">
      <calculatedColumnFormula>OFFSET(F21,0,$A$4-1,,)</calculatedColumnFormula>
    </tableColumn>
    <tableColumn id="2" name="Столбец2" dataDxfId="0">
      <calculatedColumnFormula>OFFSET(M21,0,$A$4-1,,)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3" name="Таблица314" displayName="Таблица314" ref="D35:E42" totalsRowShown="0" headerRowDxfId="39" dataDxfId="38">
  <autoFilter ref="D35:E42"/>
  <tableColumns count="2">
    <tableColumn id="1" name="Столбец1" dataDxfId="37"/>
    <tableColumn id="2" name="Столбец2" dataDxfId="36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14" name="Таблица415" displayName="Таблица415" ref="D45:E48" totalsRowShown="0" headerRowDxfId="35" dataDxfId="34">
  <autoFilter ref="D45:E48"/>
  <tableColumns count="2">
    <tableColumn id="1" name="Столбец1" dataDxfId="33"/>
    <tableColumn id="2" name="Столбец2" dataDxfId="3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15" name="Таблица516" displayName="Таблица516" ref="D62:E66" totalsRowShown="0" headerRowDxfId="31" dataDxfId="30">
  <autoFilter ref="D62:E66"/>
  <tableColumns count="2">
    <tableColumn id="1" name="Столбец1" dataDxfId="29"/>
    <tableColumn id="2" name="Столбец2" dataDxfId="28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16" name="Таблица617" displayName="Таблица617" ref="D69:E71" totalsRowShown="0" headerRowDxfId="27" dataDxfId="26">
  <autoFilter ref="D69:E71"/>
  <tableColumns count="2">
    <tableColumn id="1" name="Столбец1" dataDxfId="25"/>
    <tableColumn id="2" name="Столбец2" dataDxfId="24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17" name="Таблица218" displayName="Таблица218" ref="D51:E53" totalsRowShown="0" headerRowDxfId="23" dataDxfId="22">
  <autoFilter ref="D51:E53"/>
  <tableColumns count="2">
    <tableColumn id="1" name="Столбец1" dataDxfId="21"/>
    <tableColumn id="2" name="Столбец2" dataDxfId="2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8" name="Таблица4819" displayName="Таблица4819" ref="D14:E17" totalsRowShown="0" headerRowDxfId="19" dataDxfId="18">
  <autoFilter ref="D14:E17"/>
  <tableColumns count="2">
    <tableColumn id="1" name="Столбец1" dataDxfId="17">
      <calculatedColumnFormula>OFFSET(F15,0,$A$4-1,,)</calculatedColumnFormula>
    </tableColumn>
    <tableColumn id="2" name="Столбец2" dataDxfId="16">
      <calculatedColumnFormula>OFFSET(M15,0,$A$4-1,,)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19" name="Таблица920" displayName="Таблица920" ref="D56:E59" totalsRowShown="0" headerRowDxfId="15" dataDxfId="14">
  <autoFilter ref="D56:E59"/>
  <tableColumns count="2">
    <tableColumn id="1" name="Столбец1" dataDxfId="13"/>
    <tableColumn id="2" name="Столбец2" dataDxfId="1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20" name="Таблица821" displayName="Таблица821" ref="D26:E27" totalsRowShown="0" headerRowDxfId="11" dataDxfId="10">
  <autoFilter ref="D26:E27"/>
  <tableColumns count="2">
    <tableColumn id="1" name="Столбец1" dataDxfId="9">
      <calculatedColumnFormula>OFFSET(F27,0,$A$4-1,,)</calculatedColumnFormula>
    </tableColumn>
    <tableColumn id="2" name="Столбец2" dataDxfId="8">
      <calculatedColumnFormula>OFFSET(M27,0,$A$4-1,,)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46"/>
  <sheetViews>
    <sheetView tabSelected="1" zoomScaleNormal="100" workbookViewId="0">
      <selection activeCell="M6" sqref="M6"/>
    </sheetView>
  </sheetViews>
  <sheetFormatPr defaultRowHeight="12.75" x14ac:dyDescent="0.2"/>
  <cols>
    <col min="1" max="1" width="2.5703125" customWidth="1"/>
    <col min="2" max="2" width="3.28515625" customWidth="1"/>
    <col min="3" max="3" width="12.7109375" customWidth="1"/>
    <col min="4" max="4" width="4.42578125" customWidth="1"/>
    <col min="5" max="5" width="9.42578125" customWidth="1"/>
    <col min="6" max="6" width="19.5703125" customWidth="1"/>
    <col min="7" max="7" width="43" customWidth="1"/>
    <col min="8" max="8" width="2.5703125" customWidth="1"/>
    <col min="9" max="9" width="23.140625" customWidth="1"/>
    <col min="10" max="10" width="1.140625" customWidth="1"/>
    <col min="11" max="11" width="4.140625" style="1" customWidth="1"/>
    <col min="12" max="13" width="13.28515625" customWidth="1"/>
    <col min="14" max="16" width="6.140625" customWidth="1"/>
    <col min="17" max="17" width="5.28515625" customWidth="1"/>
    <col min="18" max="19" width="19.28515625" customWidth="1"/>
  </cols>
  <sheetData>
    <row r="1" spans="1:11" s="62" customFormat="1" ht="17.25" customHeight="1" x14ac:dyDescent="0.25">
      <c r="A1" s="94"/>
      <c r="B1" s="94"/>
      <c r="C1" s="94"/>
      <c r="D1" s="94"/>
      <c r="E1" s="94"/>
      <c r="F1" s="94"/>
      <c r="G1" s="94"/>
      <c r="H1" s="94"/>
      <c r="I1" s="64" t="s">
        <v>106</v>
      </c>
      <c r="J1" s="31"/>
      <c r="K1" s="65"/>
    </row>
    <row r="2" spans="1:11" ht="46.5" customHeight="1" x14ac:dyDescent="0.25">
      <c r="A2" s="29"/>
      <c r="B2" s="29"/>
      <c r="C2" s="30" t="s">
        <v>22</v>
      </c>
      <c r="D2" s="30"/>
      <c r="E2" s="30"/>
      <c r="F2" s="30"/>
      <c r="G2" s="31"/>
      <c r="H2" s="29"/>
      <c r="I2" s="32" t="s">
        <v>9</v>
      </c>
      <c r="J2" s="31"/>
    </row>
    <row r="3" spans="1:11" ht="10.5" customHeight="1" x14ac:dyDescent="0.25">
      <c r="A3" s="29"/>
      <c r="B3" s="33"/>
      <c r="C3" s="33"/>
      <c r="D3" s="33"/>
      <c r="E3" s="33"/>
      <c r="F3" s="33"/>
      <c r="G3" s="33"/>
      <c r="H3" s="33"/>
      <c r="I3" s="32"/>
      <c r="J3" s="31"/>
    </row>
    <row r="4" spans="1:11" ht="22.5" customHeight="1" x14ac:dyDescent="0.25">
      <c r="A4" s="29"/>
      <c r="B4" s="34" t="s">
        <v>98</v>
      </c>
      <c r="C4" s="29"/>
      <c r="D4" s="29"/>
      <c r="E4" s="29"/>
      <c r="F4" s="29"/>
      <c r="G4" s="29"/>
      <c r="H4" s="29"/>
      <c r="I4" s="35" t="s">
        <v>19</v>
      </c>
      <c r="J4" s="31"/>
    </row>
    <row r="5" spans="1:11" ht="125.25" customHeight="1" x14ac:dyDescent="0.25">
      <c r="A5" s="29"/>
      <c r="B5" s="26"/>
      <c r="C5" s="29"/>
      <c r="D5" s="29"/>
      <c r="E5" s="29"/>
      <c r="F5" s="29"/>
      <c r="G5" s="29"/>
      <c r="H5" s="29"/>
      <c r="I5" s="35"/>
      <c r="J5" s="31"/>
    </row>
    <row r="6" spans="1:11" ht="186.75" customHeight="1" x14ac:dyDescent="0.25">
      <c r="A6" s="29"/>
      <c r="B6" s="26"/>
      <c r="C6" s="29"/>
      <c r="D6" s="29"/>
      <c r="E6" s="29"/>
      <c r="F6" s="29"/>
      <c r="G6" s="29"/>
      <c r="H6" s="29"/>
      <c r="I6" s="35"/>
      <c r="J6" s="31"/>
    </row>
    <row r="7" spans="1:11" ht="177.75" customHeight="1" thickBot="1" x14ac:dyDescent="0.3">
      <c r="A7" s="29"/>
      <c r="B7" s="26"/>
      <c r="C7" s="29"/>
      <c r="D7" s="29"/>
      <c r="E7" s="29"/>
      <c r="F7" s="29"/>
      <c r="G7" s="29"/>
      <c r="H7" s="29"/>
      <c r="I7" s="74"/>
      <c r="J7" s="31"/>
    </row>
    <row r="8" spans="1:11" ht="24.95" customHeight="1" x14ac:dyDescent="0.25">
      <c r="A8" s="29"/>
      <c r="B8" s="26"/>
      <c r="C8" s="29"/>
      <c r="D8" s="29"/>
      <c r="E8" s="29"/>
      <c r="F8" s="29"/>
      <c r="G8" s="29"/>
      <c r="H8" s="72"/>
      <c r="I8" s="76"/>
      <c r="J8" s="73"/>
    </row>
    <row r="9" spans="1:11" ht="3.95" customHeight="1" thickBot="1" x14ac:dyDescent="0.3">
      <c r="A9" s="29"/>
      <c r="B9" s="26"/>
      <c r="C9" s="29"/>
      <c r="D9" s="29"/>
      <c r="E9" s="29"/>
      <c r="F9" s="29"/>
      <c r="G9" s="29"/>
      <c r="H9" s="29"/>
      <c r="I9" s="75"/>
      <c r="J9" s="31"/>
    </row>
    <row r="10" spans="1:11" ht="24.95" customHeight="1" x14ac:dyDescent="0.25">
      <c r="A10" s="29"/>
      <c r="B10" s="26" t="str">
        <f>IF(OR(Лист1!A4&lt;3,Лист1!A4=4),"Магнит в комплекте","")</f>
        <v>Магнит в комплекте</v>
      </c>
      <c r="C10" s="29"/>
      <c r="D10" s="29"/>
      <c r="E10" s="29"/>
      <c r="F10" s="29"/>
      <c r="G10" s="29"/>
      <c r="H10" s="29"/>
      <c r="I10" s="76"/>
      <c r="J10" s="31"/>
    </row>
    <row r="11" spans="1:11" ht="3.95" customHeight="1" thickBot="1" x14ac:dyDescent="0.3">
      <c r="A11" s="29"/>
      <c r="B11" s="26"/>
      <c r="C11" s="29"/>
      <c r="D11" s="29"/>
      <c r="E11" s="29"/>
      <c r="F11" s="29"/>
      <c r="G11" s="29"/>
      <c r="H11" s="29"/>
      <c r="I11" s="66"/>
      <c r="J11" s="31"/>
    </row>
    <row r="12" spans="1:11" ht="24.95" customHeight="1" x14ac:dyDescent="0.25">
      <c r="A12" s="29"/>
      <c r="B12" s="26" t="str">
        <f>IF(Лист1!A4=5,"Крепление щупа","")</f>
        <v/>
      </c>
      <c r="C12" s="29"/>
      <c r="D12" s="29"/>
      <c r="E12" s="29"/>
      <c r="F12" s="29"/>
      <c r="G12" s="29"/>
      <c r="H12" s="29"/>
      <c r="I12" s="76"/>
      <c r="J12" s="31"/>
    </row>
    <row r="13" spans="1:11" s="86" customFormat="1" ht="22.5" customHeight="1" thickBot="1" x14ac:dyDescent="0.25">
      <c r="A13" s="80"/>
      <c r="B13" s="81"/>
      <c r="C13" s="82" t="str">
        <f ca="1">Лист1!C21</f>
        <v/>
      </c>
      <c r="D13" s="80"/>
      <c r="E13" s="80"/>
      <c r="F13" s="80"/>
      <c r="G13" s="80"/>
      <c r="H13" s="80"/>
      <c r="I13" s="83"/>
      <c r="J13" s="84"/>
      <c r="K13" s="85"/>
    </row>
    <row r="14" spans="1:11" ht="24.95" customHeight="1" x14ac:dyDescent="0.25">
      <c r="A14" s="29"/>
      <c r="B14" s="26" t="s">
        <v>16</v>
      </c>
      <c r="C14" s="29"/>
      <c r="D14" s="29"/>
      <c r="E14" s="29"/>
      <c r="F14" s="29"/>
      <c r="G14" s="33"/>
      <c r="H14" s="33"/>
      <c r="I14" s="76"/>
      <c r="J14" s="31"/>
    </row>
    <row r="15" spans="1:11" ht="3.95" customHeight="1" thickBot="1" x14ac:dyDescent="0.3">
      <c r="A15" s="29"/>
      <c r="B15" s="26"/>
      <c r="C15" s="29"/>
      <c r="D15" s="29"/>
      <c r="E15" s="29"/>
      <c r="F15" s="29"/>
      <c r="G15" s="33"/>
      <c r="H15" s="33"/>
      <c r="I15" s="67"/>
      <c r="J15" s="31"/>
    </row>
    <row r="16" spans="1:11" ht="24.95" customHeight="1" x14ac:dyDescent="0.25">
      <c r="A16" s="29"/>
      <c r="B16" s="33" t="s">
        <v>12</v>
      </c>
      <c r="C16" s="29"/>
      <c r="D16" s="29"/>
      <c r="E16" s="29"/>
      <c r="F16" s="29"/>
      <c r="G16" s="33"/>
      <c r="H16" s="33"/>
      <c r="I16" s="76"/>
      <c r="J16" s="31"/>
    </row>
    <row r="17" spans="1:10" ht="3.95" customHeight="1" x14ac:dyDescent="0.25">
      <c r="A17" s="29"/>
      <c r="B17" s="33"/>
      <c r="C17" s="29"/>
      <c r="D17" s="29"/>
      <c r="E17" s="29"/>
      <c r="F17" s="29"/>
      <c r="G17" s="33"/>
      <c r="H17" s="33"/>
      <c r="I17" s="67"/>
      <c r="J17" s="31"/>
    </row>
    <row r="18" spans="1:10" ht="24.95" customHeight="1" x14ac:dyDescent="0.25">
      <c r="A18" s="29"/>
      <c r="B18" s="26" t="s">
        <v>41</v>
      </c>
      <c r="C18" s="29"/>
      <c r="D18" s="29"/>
      <c r="E18" s="29"/>
      <c r="F18" s="29"/>
      <c r="G18" s="33"/>
      <c r="H18" s="29"/>
      <c r="I18" s="66"/>
      <c r="J18" s="31"/>
    </row>
    <row r="19" spans="1:10" ht="3.95" customHeight="1" x14ac:dyDescent="0.25">
      <c r="A19" s="29"/>
      <c r="B19" s="26"/>
      <c r="C19" s="29"/>
      <c r="D19" s="29"/>
      <c r="E19" s="29"/>
      <c r="F19" s="29"/>
      <c r="G19" s="33"/>
      <c r="H19" s="29"/>
      <c r="I19" s="66"/>
      <c r="J19" s="31"/>
    </row>
    <row r="20" spans="1:10" ht="24.95" customHeight="1" x14ac:dyDescent="0.25">
      <c r="A20" s="29"/>
      <c r="B20" s="26" t="s">
        <v>53</v>
      </c>
      <c r="C20" s="29"/>
      <c r="D20" s="29"/>
      <c r="E20" s="29"/>
      <c r="F20" s="29"/>
      <c r="G20" s="33"/>
      <c r="H20" s="29"/>
      <c r="I20" s="66"/>
      <c r="J20" s="31"/>
    </row>
    <row r="21" spans="1:10" ht="3.95" customHeight="1" thickBot="1" x14ac:dyDescent="0.3">
      <c r="A21" s="29"/>
      <c r="B21" s="26"/>
      <c r="C21" s="29"/>
      <c r="D21" s="29"/>
      <c r="E21" s="29"/>
      <c r="F21" s="29"/>
      <c r="G21" s="33"/>
      <c r="H21" s="29"/>
      <c r="I21" s="66"/>
      <c r="J21" s="31"/>
    </row>
    <row r="22" spans="1:10" ht="24.95" customHeight="1" x14ac:dyDescent="0.3">
      <c r="A22" s="60" t="s">
        <v>78</v>
      </c>
      <c r="B22" s="33" t="s">
        <v>74</v>
      </c>
      <c r="C22" s="33"/>
      <c r="D22" s="33"/>
      <c r="E22" s="33"/>
      <c r="F22" s="33"/>
      <c r="G22" s="33"/>
      <c r="H22" s="33"/>
      <c r="I22" s="79"/>
      <c r="J22" s="31"/>
    </row>
    <row r="23" spans="1:10" ht="3.95" customHeight="1" thickBot="1" x14ac:dyDescent="0.25">
      <c r="A23" s="29"/>
      <c r="B23" s="29"/>
      <c r="C23" s="29"/>
      <c r="D23" s="29"/>
      <c r="E23" s="29"/>
      <c r="F23" s="29"/>
      <c r="G23" s="29"/>
      <c r="H23" s="29"/>
      <c r="I23" s="35"/>
      <c r="J23" s="31"/>
    </row>
    <row r="24" spans="1:10" ht="64.5" customHeight="1" x14ac:dyDescent="0.25">
      <c r="A24" s="29"/>
      <c r="B24" s="36" t="s">
        <v>8</v>
      </c>
      <c r="C24" s="68"/>
      <c r="D24" s="68"/>
      <c r="E24" s="68"/>
      <c r="F24" s="106"/>
      <c r="G24" s="107"/>
      <c r="H24" s="107"/>
      <c r="I24" s="108"/>
      <c r="J24" s="31"/>
    </row>
    <row r="25" spans="1:10" ht="3.95" customHeight="1" thickBot="1" x14ac:dyDescent="0.3">
      <c r="A25" s="29"/>
      <c r="B25" s="33"/>
      <c r="C25" s="68"/>
      <c r="D25" s="68"/>
      <c r="E25" s="68"/>
      <c r="F25" s="68"/>
      <c r="G25" s="68"/>
      <c r="H25" s="68"/>
      <c r="I25" s="68"/>
      <c r="J25" s="31"/>
    </row>
    <row r="26" spans="1:10" ht="24.95" customHeight="1" x14ac:dyDescent="0.25">
      <c r="A26" s="29"/>
      <c r="B26" s="33" t="s">
        <v>7</v>
      </c>
      <c r="C26" s="68"/>
      <c r="D26" s="109"/>
      <c r="E26" s="110"/>
      <c r="F26" s="110"/>
      <c r="G26" s="67" t="s">
        <v>19</v>
      </c>
      <c r="H26" s="68"/>
      <c r="I26" s="68"/>
      <c r="J26" s="31"/>
    </row>
    <row r="27" spans="1:10" ht="3.95" customHeight="1" x14ac:dyDescent="0.2">
      <c r="A27" s="29"/>
      <c r="B27" s="29"/>
      <c r="C27" s="29"/>
      <c r="D27" s="29"/>
      <c r="E27" s="29"/>
      <c r="F27" s="29"/>
      <c r="G27" s="35"/>
      <c r="H27" s="29"/>
      <c r="I27" s="29"/>
      <c r="J27" s="31"/>
    </row>
    <row r="28" spans="1:10" ht="24.95" customHeight="1" thickBot="1" x14ac:dyDescent="0.3">
      <c r="A28" s="29"/>
      <c r="B28" s="33" t="s">
        <v>0</v>
      </c>
      <c r="C28" s="33"/>
      <c r="D28" s="33"/>
      <c r="E28" s="33"/>
      <c r="F28" s="33"/>
      <c r="G28" s="35"/>
      <c r="H28" s="29"/>
      <c r="I28" s="29"/>
      <c r="J28" s="31"/>
    </row>
    <row r="29" spans="1:10" ht="24.95" customHeight="1" x14ac:dyDescent="0.25">
      <c r="A29" s="29"/>
      <c r="B29" s="33"/>
      <c r="C29" s="33" t="s">
        <v>1</v>
      </c>
      <c r="D29" s="33"/>
      <c r="E29" s="33"/>
      <c r="F29" s="109"/>
      <c r="G29" s="110"/>
      <c r="H29" s="110"/>
      <c r="I29" s="110"/>
      <c r="J29" s="31"/>
    </row>
    <row r="30" spans="1:10" ht="3.95" customHeight="1" thickBot="1" x14ac:dyDescent="0.3">
      <c r="A30" s="29"/>
      <c r="B30" s="33"/>
      <c r="C30" s="33"/>
      <c r="D30" s="33"/>
      <c r="E30" s="33"/>
      <c r="F30" s="33"/>
      <c r="G30" s="69"/>
      <c r="H30" s="70"/>
      <c r="I30" s="71"/>
      <c r="J30" s="31"/>
    </row>
    <row r="31" spans="1:10" ht="24.95" customHeight="1" x14ac:dyDescent="0.25">
      <c r="A31" s="29"/>
      <c r="B31" s="33"/>
      <c r="C31" s="33" t="s">
        <v>2</v>
      </c>
      <c r="D31" s="109"/>
      <c r="E31" s="110"/>
      <c r="F31" s="110"/>
      <c r="G31" s="110"/>
      <c r="H31" s="110"/>
      <c r="I31" s="110"/>
      <c r="J31" s="31"/>
    </row>
    <row r="32" spans="1:10" ht="3.95" customHeight="1" thickBot="1" x14ac:dyDescent="0.3">
      <c r="A32" s="29"/>
      <c r="B32" s="33"/>
      <c r="C32" s="33"/>
      <c r="D32" s="33"/>
      <c r="E32" s="33"/>
      <c r="F32" s="33"/>
      <c r="G32" s="69"/>
      <c r="H32" s="70"/>
      <c r="I32" s="71"/>
      <c r="J32" s="31"/>
    </row>
    <row r="33" spans="1:10" ht="24.95" customHeight="1" x14ac:dyDescent="0.25">
      <c r="A33" s="29"/>
      <c r="B33" s="33"/>
      <c r="C33" s="33" t="s">
        <v>3</v>
      </c>
      <c r="D33" s="33"/>
      <c r="E33" s="109"/>
      <c r="F33" s="110"/>
      <c r="G33" s="110"/>
      <c r="H33" s="110"/>
      <c r="I33" s="110"/>
      <c r="J33" s="31"/>
    </row>
    <row r="34" spans="1:10" ht="3.95" customHeight="1" thickBot="1" x14ac:dyDescent="0.3">
      <c r="A34" s="29"/>
      <c r="B34" s="33"/>
      <c r="C34" s="33"/>
      <c r="D34" s="33"/>
      <c r="E34" s="33"/>
      <c r="F34" s="33"/>
      <c r="G34" s="69"/>
      <c r="H34" s="70"/>
      <c r="I34" s="71"/>
      <c r="J34" s="31"/>
    </row>
    <row r="35" spans="1:10" ht="24.95" customHeight="1" x14ac:dyDescent="0.25">
      <c r="A35" s="29"/>
      <c r="B35" s="33"/>
      <c r="C35" s="33" t="s">
        <v>4</v>
      </c>
      <c r="D35" s="33"/>
      <c r="E35" s="109"/>
      <c r="F35" s="110"/>
      <c r="G35" s="110"/>
      <c r="H35" s="110"/>
      <c r="I35" s="110"/>
      <c r="J35" s="31"/>
    </row>
    <row r="36" spans="1:10" ht="9.9499999999999993" customHeight="1" x14ac:dyDescent="0.2">
      <c r="A36" s="38"/>
      <c r="B36" s="38"/>
      <c r="C36" s="38"/>
      <c r="D36" s="38"/>
      <c r="E36" s="38"/>
      <c r="F36" s="38"/>
      <c r="G36" s="38"/>
      <c r="H36" s="38"/>
      <c r="I36" s="29"/>
      <c r="J36" s="31"/>
    </row>
    <row r="37" spans="1:10" ht="15.75" x14ac:dyDescent="0.25">
      <c r="A37" s="39"/>
      <c r="B37" s="40" t="s">
        <v>10</v>
      </c>
      <c r="C37" s="40"/>
      <c r="D37" s="40"/>
      <c r="E37" s="40"/>
      <c r="F37" s="40"/>
      <c r="G37" s="39"/>
      <c r="H37" s="39"/>
      <c r="I37" s="37"/>
      <c r="J37" s="31"/>
    </row>
    <row r="38" spans="1:10" ht="15.75" customHeight="1" x14ac:dyDescent="0.25">
      <c r="A38" s="39"/>
      <c r="B38" s="40"/>
      <c r="C38" s="98" t="str">
        <f ca="1">Лист1!A74</f>
        <v>Сигнализатор "Автон" (Щ0, 1м, LoRa)</v>
      </c>
      <c r="D38" s="99"/>
      <c r="E38" s="99"/>
      <c r="F38" s="99"/>
      <c r="G38" s="100"/>
      <c r="H38" s="39"/>
      <c r="I38" s="37"/>
      <c r="J38" s="31"/>
    </row>
    <row r="39" spans="1:10" ht="17.25" customHeight="1" x14ac:dyDescent="0.25">
      <c r="A39" s="39"/>
      <c r="B39" s="40" t="s">
        <v>45</v>
      </c>
      <c r="C39" s="43"/>
      <c r="D39" s="43"/>
      <c r="E39" s="43"/>
      <c r="F39" s="43"/>
      <c r="G39" s="43"/>
      <c r="H39" s="39"/>
      <c r="I39" s="37"/>
      <c r="J39" s="31"/>
    </row>
    <row r="40" spans="1:10" ht="17.25" customHeight="1" x14ac:dyDescent="0.25">
      <c r="A40" s="39"/>
      <c r="B40" s="41"/>
      <c r="C40" s="104" t="str">
        <f ca="1">Лист1!A78</f>
        <v/>
      </c>
      <c r="D40" s="102"/>
      <c r="E40" s="102"/>
      <c r="F40" s="102"/>
      <c r="G40" s="105"/>
      <c r="H40" s="42"/>
      <c r="I40" s="37"/>
      <c r="J40" s="31"/>
    </row>
    <row r="41" spans="1:10" ht="17.25" customHeight="1" x14ac:dyDescent="0.25">
      <c r="A41" s="39"/>
      <c r="B41" s="41"/>
      <c r="C41" s="104" t="str">
        <f ca="1">Лист1!A79</f>
        <v/>
      </c>
      <c r="D41" s="102"/>
      <c r="E41" s="102"/>
      <c r="F41" s="102"/>
      <c r="G41" s="105"/>
      <c r="H41" s="42"/>
      <c r="I41" s="37"/>
      <c r="J41" s="31"/>
    </row>
    <row r="42" spans="1:10" ht="15.75" x14ac:dyDescent="0.25">
      <c r="A42" s="39"/>
      <c r="B42" s="41"/>
      <c r="C42" s="101" t="str">
        <f>Лист1!A80</f>
        <v/>
      </c>
      <c r="D42" s="102"/>
      <c r="E42" s="102"/>
      <c r="F42" s="102"/>
      <c r="G42" s="103"/>
      <c r="H42" s="42"/>
      <c r="I42" s="37"/>
      <c r="J42" s="31"/>
    </row>
    <row r="43" spans="1:10" ht="15.75" x14ac:dyDescent="0.25">
      <c r="A43" s="39"/>
      <c r="B43" s="40" t="s">
        <v>8</v>
      </c>
      <c r="C43" s="46"/>
      <c r="D43" s="46"/>
      <c r="E43" s="46"/>
      <c r="F43" s="46"/>
      <c r="G43" s="46"/>
      <c r="H43" s="39"/>
      <c r="I43" s="37"/>
      <c r="J43" s="31"/>
    </row>
    <row r="44" spans="1:10" ht="58.5" customHeight="1" x14ac:dyDescent="0.2">
      <c r="A44" s="39"/>
      <c r="B44" s="45"/>
      <c r="C44" s="95" t="str">
        <f>IF(F24="","",F24)</f>
        <v/>
      </c>
      <c r="D44" s="96"/>
      <c r="E44" s="96"/>
      <c r="F44" s="96"/>
      <c r="G44" s="97"/>
      <c r="H44" s="42"/>
      <c r="I44" s="37"/>
      <c r="J44" s="31"/>
    </row>
    <row r="45" spans="1:10" ht="33.75" customHeight="1" x14ac:dyDescent="0.2">
      <c r="A45" s="39"/>
      <c r="B45" s="45"/>
      <c r="C45" s="95" t="str">
        <f>IF(Лист1!A4=7,"Конструктивное исполнение чувствительного элемента: "&amp;I8,"")</f>
        <v/>
      </c>
      <c r="D45" s="96"/>
      <c r="E45" s="96"/>
      <c r="F45" s="96"/>
      <c r="G45" s="97"/>
      <c r="H45" s="42"/>
      <c r="I45" s="37"/>
      <c r="J45" s="31"/>
    </row>
    <row r="46" spans="1:10" ht="9" customHeight="1" x14ac:dyDescent="0.2">
      <c r="A46" s="39"/>
      <c r="B46" s="39"/>
      <c r="C46" s="44"/>
      <c r="D46" s="44"/>
      <c r="E46" s="44"/>
      <c r="F46" s="44"/>
      <c r="G46" s="44"/>
      <c r="H46" s="39"/>
      <c r="I46" s="37"/>
      <c r="J46" s="31"/>
    </row>
  </sheetData>
  <sheetProtection password="C7C8" sheet="1" objects="1" scenarios="1"/>
  <mergeCells count="13">
    <mergeCell ref="A1:H1"/>
    <mergeCell ref="C45:G45"/>
    <mergeCell ref="C44:G44"/>
    <mergeCell ref="C38:G38"/>
    <mergeCell ref="C42:G42"/>
    <mergeCell ref="C40:G40"/>
    <mergeCell ref="F24:I24"/>
    <mergeCell ref="D26:F26"/>
    <mergeCell ref="F29:I29"/>
    <mergeCell ref="D31:I31"/>
    <mergeCell ref="E33:I33"/>
    <mergeCell ref="E35:I35"/>
    <mergeCell ref="C41:G41"/>
  </mergeCells>
  <hyperlinks>
    <hyperlink ref="A22" location="Справка!A1" display="?"/>
  </hyperlinks>
  <pageMargins left="0.6692913385826772" right="0.15748031496062992" top="0.35433070866141736" bottom="0.39370078740157483" header="0.19685039370078741" footer="0.31496062992125984"/>
  <pageSetup paperSize="9" scale="78" fitToHeight="2" orientation="portrait" r:id="rId1"/>
  <rowBreaks count="1" manualBreakCount="1">
    <brk id="25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5</xdr:col>
                    <xdr:colOff>276225</xdr:colOff>
                    <xdr:row>13</xdr:row>
                    <xdr:rowOff>28575</xdr:rowOff>
                  </from>
                  <to>
                    <xdr:col>7</xdr:col>
                    <xdr:colOff>85725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Drop Down 12">
              <controlPr defaultSize="0" autoLine="0" autoPict="0">
                <anchor moveWithCells="1">
                  <from>
                    <xdr:col>5</xdr:col>
                    <xdr:colOff>266700</xdr:colOff>
                    <xdr:row>15</xdr:row>
                    <xdr:rowOff>28575</xdr:rowOff>
                  </from>
                  <to>
                    <xdr:col>7</xdr:col>
                    <xdr:colOff>76200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Drop Down 13">
              <controlPr defaultSize="0" autoLine="0" autoPict="0">
                <anchor moveWithCells="1">
                  <from>
                    <xdr:col>5</xdr:col>
                    <xdr:colOff>266700</xdr:colOff>
                    <xdr:row>21</xdr:row>
                    <xdr:rowOff>28575</xdr:rowOff>
                  </from>
                  <to>
                    <xdr:col>7</xdr:col>
                    <xdr:colOff>76200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" name="Option Button 78">
              <controlPr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171450</xdr:rowOff>
                  </from>
                  <to>
                    <xdr:col>5</xdr:col>
                    <xdr:colOff>466725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" name="Group Box 79">
              <controlPr defaultSize="0" autoFill="0" autoPict="0">
                <anchor moveWithCells="1">
                  <from>
                    <xdr:col>2</xdr:col>
                    <xdr:colOff>19050</xdr:colOff>
                    <xdr:row>4</xdr:row>
                    <xdr:rowOff>28575</xdr:rowOff>
                  </from>
                  <to>
                    <xdr:col>7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9" name="Option Button 80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57150</xdr:rowOff>
                  </from>
                  <to>
                    <xdr:col>6</xdr:col>
                    <xdr:colOff>2343150</xdr:colOff>
                    <xdr:row>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" name="Drop Down 104">
              <controlPr defaultSize="0" autoLine="0" autoPict="0">
                <anchor moveWithCells="1">
                  <from>
                    <xdr:col>5</xdr:col>
                    <xdr:colOff>276225</xdr:colOff>
                    <xdr:row>17</xdr:row>
                    <xdr:rowOff>28575</xdr:rowOff>
                  </from>
                  <to>
                    <xdr:col>7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" name="Drop Down 105">
              <controlPr defaultSize="0" autoLine="0" autoPict="0">
                <anchor moveWithCells="1">
                  <from>
                    <xdr:col>5</xdr:col>
                    <xdr:colOff>276225</xdr:colOff>
                    <xdr:row>9</xdr:row>
                    <xdr:rowOff>28575</xdr:rowOff>
                  </from>
                  <to>
                    <xdr:col>7</xdr:col>
                    <xdr:colOff>85725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2" name="Drop Down 107">
              <controlPr defaultSize="0" autoLine="0" autoPict="0">
                <anchor moveWithCells="1">
                  <from>
                    <xdr:col>5</xdr:col>
                    <xdr:colOff>276225</xdr:colOff>
                    <xdr:row>19</xdr:row>
                    <xdr:rowOff>28575</xdr:rowOff>
                  </from>
                  <to>
                    <xdr:col>7</xdr:col>
                    <xdr:colOff>85725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3" name="Option Button 108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323850</xdr:rowOff>
                  </from>
                  <to>
                    <xdr:col>5</xdr:col>
                    <xdr:colOff>476250</xdr:colOff>
                    <xdr:row>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4" name="Option Button 109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142875</xdr:rowOff>
                  </from>
                  <to>
                    <xdr:col>6</xdr:col>
                    <xdr:colOff>2533650</xdr:colOff>
                    <xdr:row>5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5" name="Option Button 111">
              <controlPr defaultSize="0" autoFill="0" autoLine="0" autoPict="0">
                <anchor moveWithCells="1">
                  <from>
                    <xdr:col>2</xdr:col>
                    <xdr:colOff>95250</xdr:colOff>
                    <xdr:row>6</xdr:row>
                    <xdr:rowOff>257175</xdr:rowOff>
                  </from>
                  <to>
                    <xdr:col>5</xdr:col>
                    <xdr:colOff>523875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6" name="Option Button 113">
              <controlPr defaultSize="0" autoFill="0" autoLine="0" autoPict="0">
                <anchor moveWithCells="1">
                  <from>
                    <xdr:col>6</xdr:col>
                    <xdr:colOff>219075</xdr:colOff>
                    <xdr:row>5</xdr:row>
                    <xdr:rowOff>2295525</xdr:rowOff>
                  </from>
                  <to>
                    <xdr:col>6</xdr:col>
                    <xdr:colOff>2419350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7" name="Drop Down 116">
              <controlPr defaultSize="0" autoLine="0" autoPict="0">
                <anchor moveWithCells="1">
                  <from>
                    <xdr:col>5</xdr:col>
                    <xdr:colOff>276225</xdr:colOff>
                    <xdr:row>11</xdr:row>
                    <xdr:rowOff>28575</xdr:rowOff>
                  </from>
                  <to>
                    <xdr:col>7</xdr:col>
                    <xdr:colOff>85725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8" name="Option Button 120">
              <controlPr defaultSize="0" autoFill="0" autoLine="0" autoPict="0">
                <anchor moveWithCells="1">
                  <from>
                    <xdr:col>2</xdr:col>
                    <xdr:colOff>85725</xdr:colOff>
                    <xdr:row>6</xdr:row>
                    <xdr:rowOff>2247900</xdr:rowOff>
                  </from>
                  <to>
                    <xdr:col>5</xdr:col>
                    <xdr:colOff>514350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S108"/>
  <sheetViews>
    <sheetView topLeftCell="A76" zoomScaleNormal="100" workbookViewId="0">
      <selection activeCell="B95" sqref="B95"/>
    </sheetView>
  </sheetViews>
  <sheetFormatPr defaultRowHeight="16.5" customHeight="1" x14ac:dyDescent="0.2"/>
  <cols>
    <col min="1" max="1" width="27.7109375" style="4" customWidth="1"/>
    <col min="2" max="2" width="25.5703125" style="5" customWidth="1"/>
    <col min="3" max="4" width="25.5703125" style="4" customWidth="1"/>
    <col min="5" max="5" width="45" style="4" customWidth="1"/>
    <col min="6" max="6" width="20.7109375" style="4" customWidth="1"/>
    <col min="7" max="7" width="25.140625" style="4" customWidth="1"/>
    <col min="8" max="8" width="19.85546875" style="4" customWidth="1"/>
    <col min="9" max="9" width="9.85546875" style="4" customWidth="1"/>
    <col min="10" max="12" width="12.5703125" style="4" customWidth="1"/>
    <col min="13" max="14" width="13.28515625" style="4" customWidth="1"/>
    <col min="15" max="15" width="9.85546875" style="4" customWidth="1"/>
    <col min="16" max="16" width="17" style="4" customWidth="1"/>
    <col min="17" max="18" width="10.5703125" style="4" customWidth="1"/>
    <col min="19" max="20" width="16.7109375" style="4" customWidth="1"/>
    <col min="21" max="22" width="19.28515625" style="4" customWidth="1"/>
    <col min="23" max="16384" width="9.140625" style="4"/>
  </cols>
  <sheetData>
    <row r="1" spans="1:19" ht="16.5" customHeight="1" x14ac:dyDescent="0.2">
      <c r="A1" s="113" t="s">
        <v>17</v>
      </c>
      <c r="B1" s="113"/>
      <c r="C1" s="12" t="s">
        <v>18</v>
      </c>
      <c r="D1" s="12" t="s">
        <v>24</v>
      </c>
    </row>
    <row r="2" spans="1:19" ht="16.5" customHeight="1" x14ac:dyDescent="0.2">
      <c r="A2" s="12"/>
      <c r="B2" s="13"/>
      <c r="C2" s="12"/>
    </row>
    <row r="3" spans="1:19" ht="16.5" customHeight="1" x14ac:dyDescent="0.25">
      <c r="A3" s="27" t="s">
        <v>23</v>
      </c>
      <c r="B3" s="13"/>
      <c r="C3" s="12"/>
      <c r="G3" s="4" t="s">
        <v>69</v>
      </c>
      <c r="H3" s="4" t="s">
        <v>84</v>
      </c>
    </row>
    <row r="4" spans="1:19" ht="16.5" customHeight="1" x14ac:dyDescent="0.2">
      <c r="A4" s="47">
        <v>1</v>
      </c>
      <c r="B4" s="49">
        <f>INDEX(D5:D11,A4,1)</f>
        <v>1</v>
      </c>
      <c r="C4" s="47" t="str">
        <f>VLOOKUP(B4,Таблица111[#All],2,)</f>
        <v>Щ0</v>
      </c>
      <c r="D4" s="4" t="s">
        <v>28</v>
      </c>
      <c r="E4" s="4" t="s">
        <v>29</v>
      </c>
      <c r="F4" s="21" t="s">
        <v>63</v>
      </c>
      <c r="G4" s="4" t="s">
        <v>65</v>
      </c>
      <c r="H4" s="4" t="s">
        <v>68</v>
      </c>
    </row>
    <row r="5" spans="1:19" ht="16.5" customHeight="1" x14ac:dyDescent="0.2">
      <c r="C5" s="47" t="str">
        <f>VLOOKUP(B4,Таблица111[#All],3,)</f>
        <v>Сигнализатор "Автон"</v>
      </c>
      <c r="D5" s="4">
        <v>1</v>
      </c>
      <c r="E5" s="4" t="s">
        <v>26</v>
      </c>
      <c r="F5" s="21" t="s">
        <v>62</v>
      </c>
      <c r="G5" s="54" t="s">
        <v>72</v>
      </c>
      <c r="H5" s="4" t="s">
        <v>67</v>
      </c>
    </row>
    <row r="6" spans="1:19" ht="16.5" customHeight="1" x14ac:dyDescent="0.2">
      <c r="C6" s="47"/>
      <c r="D6" s="4">
        <v>2</v>
      </c>
      <c r="E6" s="4" t="s">
        <v>73</v>
      </c>
      <c r="F6" s="21" t="s">
        <v>62</v>
      </c>
      <c r="G6" s="54" t="s">
        <v>72</v>
      </c>
      <c r="H6" s="4" t="s">
        <v>67</v>
      </c>
    </row>
    <row r="7" spans="1:19" ht="16.5" customHeight="1" x14ac:dyDescent="0.2">
      <c r="D7" s="4">
        <v>3</v>
      </c>
      <c r="E7" s="4" t="s">
        <v>56</v>
      </c>
      <c r="F7" s="21" t="s">
        <v>62</v>
      </c>
      <c r="G7" s="55" t="s">
        <v>71</v>
      </c>
      <c r="H7" s="4" t="s">
        <v>67</v>
      </c>
    </row>
    <row r="8" spans="1:19" ht="16.5" customHeight="1" x14ac:dyDescent="0.2">
      <c r="D8" s="4">
        <v>4</v>
      </c>
      <c r="E8" s="4" t="s">
        <v>25</v>
      </c>
      <c r="F8" s="21" t="s">
        <v>62</v>
      </c>
      <c r="G8" s="54" t="s">
        <v>70</v>
      </c>
      <c r="H8" s="4" t="s">
        <v>66</v>
      </c>
    </row>
    <row r="9" spans="1:19" ht="16.5" customHeight="1" x14ac:dyDescent="0.2">
      <c r="D9" s="4">
        <v>5</v>
      </c>
      <c r="E9" s="4" t="s">
        <v>57</v>
      </c>
      <c r="F9" s="21" t="s">
        <v>64</v>
      </c>
      <c r="G9" s="55" t="s">
        <v>83</v>
      </c>
      <c r="H9" s="4" t="s">
        <v>66</v>
      </c>
    </row>
    <row r="10" spans="1:19" ht="16.5" customHeight="1" x14ac:dyDescent="0.2">
      <c r="D10" s="4">
        <v>6</v>
      </c>
      <c r="E10" s="4" t="s">
        <v>58</v>
      </c>
      <c r="F10" s="21" t="s">
        <v>64</v>
      </c>
      <c r="G10" s="55" t="s">
        <v>83</v>
      </c>
      <c r="H10" s="4" t="s">
        <v>66</v>
      </c>
    </row>
    <row r="11" spans="1:19" ht="16.5" customHeight="1" x14ac:dyDescent="0.2">
      <c r="D11" s="4">
        <v>7</v>
      </c>
      <c r="E11" s="4" t="s">
        <v>27</v>
      </c>
      <c r="F11" s="21" t="s">
        <v>62</v>
      </c>
      <c r="G11" s="54" t="s">
        <v>70</v>
      </c>
      <c r="H11" s="4" t="s">
        <v>66</v>
      </c>
    </row>
    <row r="13" spans="1:19" ht="16.5" customHeight="1" x14ac:dyDescent="0.2">
      <c r="A13" s="28" t="s">
        <v>46</v>
      </c>
    </row>
    <row r="14" spans="1:19" ht="16.5" customHeight="1" x14ac:dyDescent="0.2">
      <c r="A14" s="17">
        <v>1</v>
      </c>
      <c r="B14" s="50" t="str">
        <f ca="1">INDEX(Таблица4819[Столбец1],A14,1)</f>
        <v>Ø15×10 мм (по умолчанию)</v>
      </c>
      <c r="C14" s="17" t="str">
        <f ca="1">VLOOKUP(B14,Таблица4819[#All],2,)</f>
        <v/>
      </c>
      <c r="D14" s="18" t="s">
        <v>28</v>
      </c>
      <c r="E14" s="19" t="s">
        <v>29</v>
      </c>
      <c r="F14" s="25" t="s">
        <v>26</v>
      </c>
      <c r="G14" s="25" t="s">
        <v>73</v>
      </c>
      <c r="H14" s="25" t="s">
        <v>56</v>
      </c>
      <c r="I14" s="25" t="s">
        <v>25</v>
      </c>
      <c r="J14" s="25" t="s">
        <v>57</v>
      </c>
      <c r="K14" s="25" t="s">
        <v>58</v>
      </c>
      <c r="L14" s="25" t="s">
        <v>27</v>
      </c>
      <c r="M14" s="25" t="s">
        <v>26</v>
      </c>
      <c r="N14" s="25" t="s">
        <v>73</v>
      </c>
      <c r="O14" s="25" t="s">
        <v>56</v>
      </c>
      <c r="P14" s="25" t="s">
        <v>25</v>
      </c>
      <c r="Q14" s="25" t="s">
        <v>57</v>
      </c>
      <c r="R14" s="25" t="s">
        <v>58</v>
      </c>
      <c r="S14" s="25" t="s">
        <v>27</v>
      </c>
    </row>
    <row r="15" spans="1:19" ht="16.5" customHeight="1" x14ac:dyDescent="0.2">
      <c r="A15" s="2"/>
      <c r="B15" s="3"/>
      <c r="C15" s="20"/>
      <c r="D15" s="18" t="str">
        <f ca="1">OFFSET(F15,0,$A$4-1,,)</f>
        <v>Ø15×10 мм (по умолчанию)</v>
      </c>
      <c r="E15" s="24" t="str">
        <f ca="1">OFFSET(M15,0,$A$4-1,,)</f>
        <v/>
      </c>
      <c r="F15" s="21" t="s">
        <v>51</v>
      </c>
      <c r="G15" s="21" t="s">
        <v>51</v>
      </c>
      <c r="H15" s="22" t="s">
        <v>19</v>
      </c>
      <c r="I15" s="21" t="s">
        <v>52</v>
      </c>
      <c r="J15" s="22" t="s">
        <v>19</v>
      </c>
      <c r="K15" s="22" t="s">
        <v>19</v>
      </c>
      <c r="L15" s="22" t="s">
        <v>19</v>
      </c>
      <c r="M15" s="22" t="s">
        <v>19</v>
      </c>
      <c r="N15" s="22" t="s">
        <v>19</v>
      </c>
      <c r="O15" s="22" t="s">
        <v>19</v>
      </c>
      <c r="P15" s="22" t="s">
        <v>19</v>
      </c>
      <c r="Q15" s="22" t="s">
        <v>19</v>
      </c>
      <c r="R15" s="22" t="s">
        <v>19</v>
      </c>
      <c r="S15" s="22" t="s">
        <v>19</v>
      </c>
    </row>
    <row r="16" spans="1:19" ht="16.5" customHeight="1" x14ac:dyDescent="0.2">
      <c r="A16" s="2"/>
      <c r="B16" s="3"/>
      <c r="C16" s="20"/>
      <c r="D16" s="18" t="str">
        <f ca="1">OFFSET(F16,0,$A$4-1,,)</f>
        <v>Ø20×3 мм</v>
      </c>
      <c r="E16" s="24" t="str">
        <f ca="1">OFFSET(M16,0,$A$4-1,,)</f>
        <v>Магнит: Ø20×3 мм</v>
      </c>
      <c r="F16" s="21" t="s">
        <v>47</v>
      </c>
      <c r="G16" s="21" t="s">
        <v>47</v>
      </c>
      <c r="H16" s="22" t="s">
        <v>19</v>
      </c>
      <c r="I16" s="22" t="s">
        <v>49</v>
      </c>
      <c r="J16" s="22" t="s">
        <v>19</v>
      </c>
      <c r="K16" s="22" t="s">
        <v>19</v>
      </c>
      <c r="L16" s="22" t="s">
        <v>19</v>
      </c>
      <c r="M16" s="21" t="s">
        <v>50</v>
      </c>
      <c r="N16" s="21" t="s">
        <v>50</v>
      </c>
      <c r="O16" s="22" t="s">
        <v>19</v>
      </c>
      <c r="P16" s="21" t="str">
        <f>"Поплавок: "&amp;'Опросный лист сигнализатор'!I10</f>
        <v xml:space="preserve">Поплавок: </v>
      </c>
      <c r="Q16" s="22" t="s">
        <v>19</v>
      </c>
      <c r="R16" s="22" t="s">
        <v>19</v>
      </c>
      <c r="S16" s="22" t="s">
        <v>19</v>
      </c>
    </row>
    <row r="17" spans="1:19" ht="16.5" customHeight="1" x14ac:dyDescent="0.2">
      <c r="D17" s="23" t="str">
        <f t="shared" ref="D17" ca="1" si="0">OFFSET(F17,0,$A$4-1,,)</f>
        <v>другой</v>
      </c>
      <c r="E17" s="24" t="str">
        <f ca="1">OFFSET(M17,0,$A$4-1,,)</f>
        <v xml:space="preserve">Магнит: </v>
      </c>
      <c r="F17" s="21" t="s">
        <v>49</v>
      </c>
      <c r="G17" s="21" t="s">
        <v>49</v>
      </c>
      <c r="H17" s="22" t="s">
        <v>19</v>
      </c>
      <c r="I17" s="22" t="s">
        <v>19</v>
      </c>
      <c r="J17" s="22" t="s">
        <v>19</v>
      </c>
      <c r="K17" s="22" t="s">
        <v>19</v>
      </c>
      <c r="L17" s="22" t="s">
        <v>19</v>
      </c>
      <c r="M17" s="21" t="str">
        <f>"Магнит: "&amp;'Опросный лист сигнализатор'!I10</f>
        <v xml:space="preserve">Магнит: </v>
      </c>
      <c r="N17" s="21" t="str">
        <f>"Магнит: "&amp;'Опросный лист сигнализатор'!I10</f>
        <v xml:space="preserve">Магнит: </v>
      </c>
      <c r="O17" s="22" t="s">
        <v>19</v>
      </c>
      <c r="P17" s="22" t="s">
        <v>19</v>
      </c>
      <c r="Q17" s="22" t="s">
        <v>19</v>
      </c>
      <c r="R17" s="22" t="s">
        <v>19</v>
      </c>
      <c r="S17" s="22" t="s">
        <v>19</v>
      </c>
    </row>
    <row r="19" spans="1:19" ht="16.5" customHeight="1" x14ac:dyDescent="0.2">
      <c r="A19" s="48" t="s">
        <v>61</v>
      </c>
    </row>
    <row r="20" spans="1:19" ht="16.5" customHeight="1" x14ac:dyDescent="0.2">
      <c r="A20" s="47">
        <v>1</v>
      </c>
      <c r="B20" s="49" t="str">
        <f ca="1">INDEX(Таблица8121323[Столбец1],A20,1)</f>
        <v/>
      </c>
      <c r="C20" s="47" t="str">
        <f ca="1">INDEX(Таблица8121323[Столбец2],A20,1)</f>
        <v/>
      </c>
      <c r="D20" s="4" t="s">
        <v>28</v>
      </c>
      <c r="E20" s="4" t="s">
        <v>29</v>
      </c>
      <c r="F20" s="25" t="s">
        <v>26</v>
      </c>
      <c r="G20" s="25" t="s">
        <v>73</v>
      </c>
      <c r="H20" s="25" t="s">
        <v>56</v>
      </c>
      <c r="I20" s="25" t="s">
        <v>25</v>
      </c>
      <c r="J20" s="25" t="s">
        <v>57</v>
      </c>
      <c r="K20" s="25" t="s">
        <v>58</v>
      </c>
      <c r="L20" s="25" t="s">
        <v>27</v>
      </c>
      <c r="M20" s="25" t="s">
        <v>26</v>
      </c>
      <c r="N20" s="25" t="s">
        <v>73</v>
      </c>
      <c r="O20" s="25" t="s">
        <v>56</v>
      </c>
      <c r="P20" s="25" t="s">
        <v>25</v>
      </c>
      <c r="Q20" s="25" t="s">
        <v>57</v>
      </c>
      <c r="R20" s="25" t="s">
        <v>58</v>
      </c>
      <c r="S20" s="25" t="s">
        <v>27</v>
      </c>
    </row>
    <row r="21" spans="1:19" ht="16.5" customHeight="1" x14ac:dyDescent="0.2">
      <c r="C21" s="78" t="str">
        <f ca="1">IF(B20="Штуцер подвижный М20х1.5","Подвижный штуцер позволяет регулировать длину погружения от 202 мм и меньше. См. чертёж на листе Справка.",IF(B20="Кронштейн для щупа","Кронштейн позволяет регулировать длину погружения от 222 мм и меньше. См. чертёж на листе Справка.",""))</f>
        <v/>
      </c>
      <c r="D21" s="4" t="str">
        <f ca="1">OFFSET(F21,0,$A$4-1,,)</f>
        <v/>
      </c>
      <c r="E21" s="9" t="str">
        <f ca="1">OFFSET(M21,0,$A$4-1,,)</f>
        <v/>
      </c>
      <c r="F21" s="22" t="s">
        <v>19</v>
      </c>
      <c r="G21" s="22" t="s">
        <v>19</v>
      </c>
      <c r="H21" s="22" t="s">
        <v>19</v>
      </c>
      <c r="I21" s="22" t="s">
        <v>19</v>
      </c>
      <c r="J21" s="22" t="s">
        <v>93</v>
      </c>
      <c r="K21" s="22" t="s">
        <v>19</v>
      </c>
      <c r="L21" s="22" t="s">
        <v>19</v>
      </c>
      <c r="M21" s="22" t="s">
        <v>19</v>
      </c>
      <c r="N21" s="22" t="s">
        <v>19</v>
      </c>
      <c r="O21" s="22" t="s">
        <v>19</v>
      </c>
      <c r="P21" s="22" t="s">
        <v>19</v>
      </c>
      <c r="Q21" s="22" t="s">
        <v>93</v>
      </c>
      <c r="R21" s="22" t="s">
        <v>19</v>
      </c>
      <c r="S21" s="22" t="s">
        <v>19</v>
      </c>
    </row>
    <row r="22" spans="1:19" ht="16.5" customHeight="1" x14ac:dyDescent="0.2">
      <c r="D22" s="4" t="str">
        <f ca="1">OFFSET(F22,0,$A$4-1,,)</f>
        <v/>
      </c>
      <c r="E22" s="9" t="str">
        <f ca="1">OFFSET(M22,0,$A$4-1,,)</f>
        <v/>
      </c>
      <c r="F22" s="22" t="s">
        <v>19</v>
      </c>
      <c r="G22" s="22" t="s">
        <v>19</v>
      </c>
      <c r="H22" s="22" t="s">
        <v>19</v>
      </c>
      <c r="I22" s="22" t="s">
        <v>19</v>
      </c>
      <c r="J22" s="4" t="s">
        <v>99</v>
      </c>
      <c r="K22" s="22" t="s">
        <v>19</v>
      </c>
      <c r="L22" s="22" t="s">
        <v>19</v>
      </c>
      <c r="M22" s="22" t="s">
        <v>19</v>
      </c>
      <c r="N22" s="22" t="s">
        <v>19</v>
      </c>
      <c r="O22" s="22" t="s">
        <v>19</v>
      </c>
      <c r="P22" s="22" t="s">
        <v>19</v>
      </c>
      <c r="Q22" s="22" t="s">
        <v>95</v>
      </c>
      <c r="R22" s="22" t="s">
        <v>19</v>
      </c>
      <c r="S22" s="22" t="s">
        <v>19</v>
      </c>
    </row>
    <row r="23" spans="1:19" ht="16.5" customHeight="1" x14ac:dyDescent="0.2">
      <c r="D23" s="4" t="str">
        <f ca="1">OFFSET(F23,0,$A$4-1,,)</f>
        <v/>
      </c>
      <c r="E23" s="9" t="str">
        <f ca="1">OFFSET(M23,0,$A$4-1,,)</f>
        <v/>
      </c>
      <c r="F23" s="22" t="s">
        <v>19</v>
      </c>
      <c r="G23" s="22" t="s">
        <v>19</v>
      </c>
      <c r="H23" s="22" t="s">
        <v>19</v>
      </c>
      <c r="I23" s="22" t="s">
        <v>19</v>
      </c>
      <c r="J23" s="22" t="s">
        <v>92</v>
      </c>
      <c r="K23" s="22" t="s">
        <v>19</v>
      </c>
      <c r="L23" s="22" t="s">
        <v>19</v>
      </c>
      <c r="M23" s="22" t="s">
        <v>19</v>
      </c>
      <c r="N23" s="22" t="s">
        <v>19</v>
      </c>
      <c r="O23" s="22" t="s">
        <v>19</v>
      </c>
      <c r="P23" s="22" t="s">
        <v>19</v>
      </c>
      <c r="Q23" s="22" t="s">
        <v>19</v>
      </c>
      <c r="R23" s="22" t="s">
        <v>19</v>
      </c>
      <c r="S23" s="22" t="s">
        <v>19</v>
      </c>
    </row>
    <row r="24" spans="1:19" ht="16.5" customHeight="1" x14ac:dyDescent="0.2">
      <c r="D24" s="4" t="str">
        <f ca="1">OFFSET(F24,0,$A$4-1,,)</f>
        <v/>
      </c>
      <c r="E24" s="4" t="str">
        <f ca="1">OFFSET(M24,0,$A$4-1,,)</f>
        <v/>
      </c>
      <c r="F24" s="22" t="s">
        <v>19</v>
      </c>
      <c r="G24" s="22" t="s">
        <v>19</v>
      </c>
      <c r="H24" s="22" t="s">
        <v>19</v>
      </c>
      <c r="I24" s="22" t="s">
        <v>19</v>
      </c>
      <c r="J24" s="22" t="s">
        <v>5</v>
      </c>
      <c r="K24" s="22" t="s">
        <v>19</v>
      </c>
      <c r="L24" s="22" t="s">
        <v>19</v>
      </c>
      <c r="M24" s="22" t="s">
        <v>19</v>
      </c>
      <c r="N24" s="22" t="s">
        <v>19</v>
      </c>
      <c r="O24" s="22" t="s">
        <v>19</v>
      </c>
      <c r="P24" s="22" t="s">
        <v>19</v>
      </c>
      <c r="Q24" s="22" t="str">
        <f>"Крепление щупа: "&amp;'Опросный лист сигнализатор'!I12</f>
        <v xml:space="preserve">Крепление щупа: </v>
      </c>
      <c r="R24" s="22" t="s">
        <v>19</v>
      </c>
      <c r="S24" s="22" t="s">
        <v>19</v>
      </c>
    </row>
    <row r="25" spans="1:19" ht="16.5" customHeight="1" x14ac:dyDescent="0.2">
      <c r="A25" s="87" t="s">
        <v>59</v>
      </c>
      <c r="B25" s="88"/>
      <c r="C25" s="89"/>
      <c r="D25" s="89"/>
      <c r="E25" s="89"/>
    </row>
    <row r="26" spans="1:19" ht="16.5" customHeight="1" x14ac:dyDescent="0.2">
      <c r="A26" s="90">
        <v>1</v>
      </c>
      <c r="B26" s="91" t="str">
        <f ca="1">INDEX(Таблица821[Столбец1],A26,1)</f>
        <v/>
      </c>
      <c r="C26" s="90" t="str">
        <f ca="1">INDEX(Таблица821[Столбец2],A26,1)</f>
        <v/>
      </c>
      <c r="D26" s="89" t="s">
        <v>28</v>
      </c>
      <c r="E26" s="89" t="s">
        <v>29</v>
      </c>
      <c r="F26" s="25" t="s">
        <v>26</v>
      </c>
      <c r="G26" s="25" t="s">
        <v>73</v>
      </c>
      <c r="H26" s="25" t="s">
        <v>56</v>
      </c>
      <c r="I26" s="25" t="s">
        <v>25</v>
      </c>
      <c r="J26" s="25" t="s">
        <v>57</v>
      </c>
      <c r="K26" s="25" t="s">
        <v>58</v>
      </c>
      <c r="L26" s="25" t="s">
        <v>27</v>
      </c>
      <c r="M26" s="25" t="s">
        <v>26</v>
      </c>
      <c r="N26" s="25" t="s">
        <v>73</v>
      </c>
      <c r="O26" s="25" t="s">
        <v>56</v>
      </c>
      <c r="P26" s="25" t="s">
        <v>25</v>
      </c>
      <c r="Q26" s="25" t="s">
        <v>57</v>
      </c>
      <c r="R26" s="25" t="s">
        <v>58</v>
      </c>
      <c r="S26" s="25" t="s">
        <v>27</v>
      </c>
    </row>
    <row r="27" spans="1:19" ht="16.5" customHeight="1" x14ac:dyDescent="0.2">
      <c r="A27" s="89"/>
      <c r="B27" s="88"/>
      <c r="C27" s="89"/>
      <c r="D27" s="89" t="str">
        <f ca="1">OFFSET(F27,0,$A$4-1,,)</f>
        <v/>
      </c>
      <c r="E27" s="89" t="str">
        <f ca="1">OFFSET(M27,0,$A$4-1,,)</f>
        <v/>
      </c>
      <c r="F27" s="22" t="s">
        <v>19</v>
      </c>
      <c r="G27" s="22" t="s">
        <v>19</v>
      </c>
      <c r="H27" s="22" t="s">
        <v>19</v>
      </c>
      <c r="I27" s="22" t="s">
        <v>19</v>
      </c>
      <c r="J27" s="22" t="s">
        <v>96</v>
      </c>
      <c r="K27" s="22" t="s">
        <v>19</v>
      </c>
      <c r="L27" s="22" t="s">
        <v>19</v>
      </c>
      <c r="M27" s="22" t="s">
        <v>19</v>
      </c>
      <c r="N27" s="22" t="s">
        <v>19</v>
      </c>
      <c r="O27" s="22" t="s">
        <v>19</v>
      </c>
      <c r="P27" s="22" t="s">
        <v>19</v>
      </c>
      <c r="Q27" s="22" t="s">
        <v>97</v>
      </c>
      <c r="R27" s="22" t="s">
        <v>19</v>
      </c>
      <c r="S27" s="22" t="s">
        <v>19</v>
      </c>
    </row>
    <row r="28" spans="1:19" ht="16.5" customHeight="1" x14ac:dyDescent="0.2">
      <c r="A28" s="89"/>
      <c r="B28" s="88"/>
      <c r="C28" s="89"/>
      <c r="D28" s="89"/>
      <c r="E28" s="89"/>
    </row>
    <row r="29" spans="1:19" ht="16.5" customHeight="1" x14ac:dyDescent="0.2">
      <c r="A29" s="87" t="s">
        <v>60</v>
      </c>
      <c r="B29" s="88"/>
      <c r="C29" s="89"/>
      <c r="D29" s="89"/>
      <c r="E29" s="89"/>
    </row>
    <row r="30" spans="1:19" ht="16.5" customHeight="1" x14ac:dyDescent="0.2">
      <c r="A30" s="90">
        <v>1</v>
      </c>
      <c r="B30" s="91" t="str">
        <f ca="1">INDEX(Таблица81222[Столбец1],A30,1)</f>
        <v/>
      </c>
      <c r="C30" s="90" t="str">
        <f ca="1">INDEX(Таблица81222[Столбец2],A30,1)</f>
        <v/>
      </c>
      <c r="D30" s="89" t="s">
        <v>28</v>
      </c>
      <c r="E30" s="89" t="s">
        <v>29</v>
      </c>
      <c r="F30" s="25" t="s">
        <v>26</v>
      </c>
      <c r="G30" s="25" t="s">
        <v>73</v>
      </c>
      <c r="H30" s="25" t="s">
        <v>56</v>
      </c>
      <c r="I30" s="25" t="s">
        <v>25</v>
      </c>
      <c r="J30" s="25" t="s">
        <v>57</v>
      </c>
      <c r="K30" s="25" t="s">
        <v>58</v>
      </c>
      <c r="L30" s="25" t="s">
        <v>27</v>
      </c>
      <c r="M30" s="25" t="s">
        <v>26</v>
      </c>
      <c r="N30" s="25" t="s">
        <v>73</v>
      </c>
      <c r="O30" s="25" t="s">
        <v>56</v>
      </c>
      <c r="P30" s="25" t="s">
        <v>25</v>
      </c>
      <c r="Q30" s="25" t="s">
        <v>57</v>
      </c>
      <c r="R30" s="25" t="s">
        <v>58</v>
      </c>
      <c r="S30" s="25" t="s">
        <v>27</v>
      </c>
    </row>
    <row r="31" spans="1:19" ht="16.5" customHeight="1" x14ac:dyDescent="0.2">
      <c r="A31" s="89"/>
      <c r="B31" s="88"/>
      <c r="C31" s="89"/>
      <c r="D31" s="89" t="str">
        <f ca="1">OFFSET(F31,0,$A$4-1,,)</f>
        <v/>
      </c>
      <c r="E31" s="92" t="str">
        <f ca="1">OFFSET(M31,0,$A$4-1,,)</f>
        <v/>
      </c>
      <c r="F31" s="22" t="s">
        <v>19</v>
      </c>
      <c r="G31" s="22" t="s">
        <v>19</v>
      </c>
      <c r="H31" s="22" t="s">
        <v>19</v>
      </c>
      <c r="I31" s="22" t="s">
        <v>19</v>
      </c>
      <c r="J31" s="22" t="s">
        <v>85</v>
      </c>
      <c r="K31" s="22" t="s">
        <v>19</v>
      </c>
      <c r="L31" s="22" t="s">
        <v>19</v>
      </c>
      <c r="M31" s="22" t="s">
        <v>19</v>
      </c>
      <c r="N31" s="22" t="s">
        <v>19</v>
      </c>
      <c r="O31" s="22" t="s">
        <v>19</v>
      </c>
      <c r="P31" s="22" t="s">
        <v>19</v>
      </c>
      <c r="Q31" s="22" t="s">
        <v>86</v>
      </c>
      <c r="R31" s="22" t="s">
        <v>19</v>
      </c>
      <c r="S31" s="22" t="s">
        <v>19</v>
      </c>
    </row>
    <row r="34" spans="1:11" ht="16.5" customHeight="1" x14ac:dyDescent="0.2">
      <c r="A34" s="28" t="s">
        <v>54</v>
      </c>
    </row>
    <row r="35" spans="1:11" ht="16.5" customHeight="1" x14ac:dyDescent="0.2">
      <c r="A35" s="47">
        <v>1</v>
      </c>
      <c r="B35" s="51">
        <f>INDEX(D36:D42,A35,1)</f>
        <v>1</v>
      </c>
      <c r="C35" s="47" t="str">
        <f>VLOOKUP(B35,Таблица314[#All],2,)</f>
        <v>, 1м</v>
      </c>
      <c r="D35" s="4" t="s">
        <v>28</v>
      </c>
      <c r="E35" s="4" t="s">
        <v>29</v>
      </c>
    </row>
    <row r="36" spans="1:11" ht="16.5" customHeight="1" x14ac:dyDescent="0.2">
      <c r="A36" s="6"/>
      <c r="B36" s="7"/>
      <c r="D36" s="4">
        <v>1</v>
      </c>
      <c r="E36" s="4" t="s">
        <v>30</v>
      </c>
      <c r="I36" s="8"/>
      <c r="J36" s="8"/>
      <c r="K36" s="8"/>
    </row>
    <row r="37" spans="1:11" ht="16.5" customHeight="1" x14ac:dyDescent="0.2">
      <c r="B37" s="7"/>
      <c r="D37" s="4">
        <v>2</v>
      </c>
      <c r="E37" s="4" t="s">
        <v>31</v>
      </c>
      <c r="I37" s="8"/>
      <c r="J37" s="8"/>
      <c r="K37" s="8"/>
    </row>
    <row r="38" spans="1:11" ht="16.5" customHeight="1" x14ac:dyDescent="0.2">
      <c r="B38" s="7"/>
      <c r="D38" s="4">
        <v>3</v>
      </c>
      <c r="E38" s="4" t="s">
        <v>32</v>
      </c>
      <c r="I38" s="8"/>
      <c r="J38" s="8"/>
      <c r="K38" s="8"/>
    </row>
    <row r="39" spans="1:11" ht="16.5" customHeight="1" x14ac:dyDescent="0.2">
      <c r="B39" s="7"/>
      <c r="D39" s="4">
        <v>5</v>
      </c>
      <c r="E39" s="4" t="s">
        <v>33</v>
      </c>
      <c r="I39" s="8"/>
      <c r="J39" s="8"/>
      <c r="K39" s="8"/>
    </row>
    <row r="40" spans="1:11" ht="16.5" customHeight="1" x14ac:dyDescent="0.2">
      <c r="B40" s="7"/>
      <c r="D40" s="4">
        <v>7</v>
      </c>
      <c r="E40" s="4" t="s">
        <v>34</v>
      </c>
      <c r="I40" s="8"/>
      <c r="J40" s="8"/>
      <c r="K40" s="8"/>
    </row>
    <row r="41" spans="1:11" ht="16.5" customHeight="1" x14ac:dyDescent="0.2">
      <c r="B41" s="7"/>
      <c r="D41" s="4">
        <v>10</v>
      </c>
      <c r="E41" s="4" t="s">
        <v>35</v>
      </c>
      <c r="I41" s="8"/>
      <c r="J41" s="8"/>
      <c r="K41" s="8"/>
    </row>
    <row r="42" spans="1:11" ht="16.5" customHeight="1" x14ac:dyDescent="0.2">
      <c r="A42" s="6"/>
      <c r="B42" s="7"/>
      <c r="D42" s="5" t="s">
        <v>6</v>
      </c>
      <c r="E42" s="14" t="str">
        <f>", "&amp;'Опросный лист сигнализатор'!I14&amp;"м"</f>
        <v>, м</v>
      </c>
      <c r="I42" s="8"/>
      <c r="J42" s="8"/>
      <c r="K42" s="8"/>
    </row>
    <row r="43" spans="1:11" ht="16.5" customHeight="1" x14ac:dyDescent="0.2">
      <c r="A43" s="6"/>
      <c r="B43" s="7"/>
      <c r="D43" s="5"/>
      <c r="E43" s="5"/>
      <c r="I43" s="8"/>
      <c r="J43" s="8"/>
      <c r="K43" s="8"/>
    </row>
    <row r="44" spans="1:11" ht="16.5" customHeight="1" x14ac:dyDescent="0.2">
      <c r="A44" s="28" t="s">
        <v>12</v>
      </c>
      <c r="B44" s="7"/>
      <c r="D44" s="5"/>
      <c r="E44" s="5"/>
      <c r="I44" s="8"/>
      <c r="J44" s="8"/>
      <c r="K44" s="8"/>
    </row>
    <row r="45" spans="1:11" ht="16.5" customHeight="1" x14ac:dyDescent="0.2">
      <c r="A45" s="47">
        <v>1</v>
      </c>
      <c r="B45" s="51" t="str">
        <f>INDEX(D46:D48,A45,1)</f>
        <v>без дополнительной защиты</v>
      </c>
      <c r="C45" s="47" t="str">
        <f>VLOOKUP(B45,Таблица415[#All],2,)</f>
        <v/>
      </c>
      <c r="D45" s="4" t="s">
        <v>28</v>
      </c>
      <c r="E45" s="4" t="s">
        <v>29</v>
      </c>
    </row>
    <row r="46" spans="1:11" ht="16.5" customHeight="1" x14ac:dyDescent="0.2">
      <c r="A46" s="6"/>
      <c r="B46" s="7"/>
      <c r="D46" s="4" t="s">
        <v>13</v>
      </c>
      <c r="E46" s="9" t="s">
        <v>19</v>
      </c>
      <c r="I46" s="8"/>
      <c r="J46" s="8"/>
      <c r="K46" s="8"/>
    </row>
    <row r="47" spans="1:11" ht="16.5" customHeight="1" x14ac:dyDescent="0.2">
      <c r="A47" s="6"/>
      <c r="B47" s="7"/>
      <c r="D47" s="4" t="s">
        <v>14</v>
      </c>
      <c r="E47" s="4" t="s">
        <v>36</v>
      </c>
      <c r="I47" s="8"/>
      <c r="J47" s="8"/>
      <c r="K47" s="8"/>
    </row>
    <row r="48" spans="1:11" ht="16.5" customHeight="1" x14ac:dyDescent="0.2">
      <c r="A48" s="6"/>
      <c r="B48" s="7"/>
      <c r="D48" s="4" t="s">
        <v>15</v>
      </c>
      <c r="E48" s="4" t="str">
        <f>", "&amp;'Опросный лист сигнализатор'!I16</f>
        <v xml:space="preserve">, </v>
      </c>
      <c r="I48" s="8"/>
      <c r="J48" s="8"/>
      <c r="K48" s="8"/>
    </row>
    <row r="49" spans="1:11" ht="16.5" customHeight="1" x14ac:dyDescent="0.2">
      <c r="A49" s="6"/>
      <c r="B49" s="7"/>
      <c r="I49" s="8"/>
      <c r="J49" s="8"/>
      <c r="K49" s="8"/>
    </row>
    <row r="50" spans="1:11" ht="16.5" customHeight="1" x14ac:dyDescent="0.2">
      <c r="A50" s="28" t="s">
        <v>41</v>
      </c>
      <c r="B50" s="7"/>
      <c r="I50" s="8"/>
      <c r="J50" s="8"/>
      <c r="K50" s="8"/>
    </row>
    <row r="51" spans="1:11" ht="16.5" customHeight="1" x14ac:dyDescent="0.2">
      <c r="A51" s="47">
        <v>1</v>
      </c>
      <c r="B51" s="49" t="str">
        <f>INDEX(D52:D53,A51,1)</f>
        <v>LoRaWAN + Bluetooth Low Energy</v>
      </c>
      <c r="C51" s="47" t="str">
        <f>VLOOKUP(B51,Таблица218[#All],2,)</f>
        <v>, LoRa</v>
      </c>
      <c r="D51" s="4" t="s">
        <v>28</v>
      </c>
      <c r="E51" s="4" t="s">
        <v>29</v>
      </c>
    </row>
    <row r="52" spans="1:11" ht="16.5" customHeight="1" x14ac:dyDescent="0.2">
      <c r="D52" s="4" t="s">
        <v>42</v>
      </c>
      <c r="E52" s="4" t="s">
        <v>38</v>
      </c>
    </row>
    <row r="53" spans="1:11" ht="16.5" customHeight="1" x14ac:dyDescent="0.2">
      <c r="A53" s="6"/>
      <c r="B53" s="7"/>
      <c r="D53" s="4" t="s">
        <v>43</v>
      </c>
      <c r="E53" s="4" t="s">
        <v>44</v>
      </c>
      <c r="I53" s="8"/>
      <c r="J53" s="8"/>
      <c r="K53" s="8"/>
    </row>
    <row r="54" spans="1:11" ht="16.5" customHeight="1" x14ac:dyDescent="0.2">
      <c r="A54" s="6"/>
      <c r="B54" s="7"/>
      <c r="I54" s="8"/>
      <c r="J54" s="8"/>
      <c r="K54" s="8"/>
    </row>
    <row r="55" spans="1:11" ht="16.5" customHeight="1" x14ac:dyDescent="0.2">
      <c r="A55" s="28" t="s">
        <v>53</v>
      </c>
      <c r="B55" s="7"/>
      <c r="I55" s="8"/>
      <c r="J55" s="8"/>
      <c r="K55" s="8"/>
    </row>
    <row r="56" spans="1:11" ht="16.5" customHeight="1" x14ac:dyDescent="0.2">
      <c r="A56" s="52">
        <v>1</v>
      </c>
      <c r="B56" s="53" t="str">
        <f>INDEX(Таблица920[],A56,1)</f>
        <v>от -40 до +60 °C (индустриальный температурный диапазон)</v>
      </c>
      <c r="C56" s="47" t="str">
        <f>INDEX(Таблица920[],A56,2)</f>
        <v/>
      </c>
      <c r="D56" s="4" t="s">
        <v>28</v>
      </c>
      <c r="E56" s="4" t="s">
        <v>29</v>
      </c>
      <c r="I56" s="8"/>
      <c r="J56" s="8"/>
      <c r="K56" s="8"/>
    </row>
    <row r="57" spans="1:11" ht="16.5" customHeight="1" x14ac:dyDescent="0.2">
      <c r="A57" s="6"/>
      <c r="B57" s="7"/>
      <c r="D57" s="4" t="s">
        <v>55</v>
      </c>
      <c r="E57" s="4" t="s">
        <v>19</v>
      </c>
      <c r="I57" s="8"/>
      <c r="J57" s="8"/>
      <c r="K57" s="8"/>
    </row>
    <row r="58" spans="1:11" ht="16.5" customHeight="1" x14ac:dyDescent="0.2">
      <c r="A58" s="6"/>
      <c r="B58" s="7"/>
      <c r="D58" s="4" t="str">
        <f>IF(A51&lt;2,"от -52 до +60 °C (низкотемпературный диапазон)","")</f>
        <v>от -52 до +60 °C (низкотемпературный диапазон)</v>
      </c>
      <c r="E58" s="4" t="str">
        <f>IF(A51&lt;2,", Н","")</f>
        <v>, Н</v>
      </c>
      <c r="I58" s="8"/>
      <c r="J58" s="8"/>
      <c r="K58" s="8"/>
    </row>
    <row r="59" spans="1:11" ht="16.5" customHeight="1" x14ac:dyDescent="0.2">
      <c r="B59" s="7"/>
      <c r="D59" s="4" t="str">
        <f>IF(A51&lt;2,"от -56 до +60 °C (расширенный низкотемпературный диапазон)","")</f>
        <v>от -56 до +60 °C (расширенный низкотемпературный диапазон)</v>
      </c>
      <c r="E59" s="4" t="str">
        <f>IF(A51&lt;2,", РН","")</f>
        <v>, РН</v>
      </c>
      <c r="I59" s="8"/>
      <c r="J59" s="8"/>
      <c r="K59" s="8"/>
    </row>
    <row r="60" spans="1:11" ht="16.5" customHeight="1" x14ac:dyDescent="0.2">
      <c r="B60" s="7"/>
      <c r="I60" s="8"/>
      <c r="J60" s="8"/>
      <c r="K60" s="8"/>
    </row>
    <row r="61" spans="1:11" ht="16.5" customHeight="1" x14ac:dyDescent="0.2">
      <c r="A61" s="28" t="s">
        <v>20</v>
      </c>
      <c r="B61" s="7"/>
      <c r="I61" s="8"/>
      <c r="J61" s="8"/>
      <c r="K61" s="8"/>
    </row>
    <row r="62" spans="1:11" ht="16.5" customHeight="1" x14ac:dyDescent="0.2">
      <c r="A62" s="47">
        <v>1</v>
      </c>
      <c r="B62" s="51" t="str">
        <f>INDEX(D63:D66,A62,1)</f>
        <v>не требуется</v>
      </c>
      <c r="C62" s="47" t="str">
        <f>VLOOKUP(B62,Таблица516[#All],2,)</f>
        <v/>
      </c>
      <c r="D62" s="4" t="s">
        <v>28</v>
      </c>
      <c r="E62" s="4" t="s">
        <v>29</v>
      </c>
    </row>
    <row r="63" spans="1:11" ht="16.5" customHeight="1" x14ac:dyDescent="0.2">
      <c r="D63" s="4" t="s">
        <v>11</v>
      </c>
      <c r="E63" s="9" t="s">
        <v>19</v>
      </c>
    </row>
    <row r="64" spans="1:11" ht="16.5" customHeight="1" x14ac:dyDescent="0.2">
      <c r="D64" t="s">
        <v>75</v>
      </c>
      <c r="E64" s="58" t="s">
        <v>102</v>
      </c>
    </row>
    <row r="65" spans="1:5" ht="16.5" customHeight="1" x14ac:dyDescent="0.2">
      <c r="D65" t="s">
        <v>76</v>
      </c>
      <c r="E65" s="58" t="s">
        <v>103</v>
      </c>
    </row>
    <row r="66" spans="1:5" ht="16.5" customHeight="1" x14ac:dyDescent="0.2">
      <c r="D66" s="4" t="s">
        <v>5</v>
      </c>
      <c r="E66" s="4" t="str">
        <f>"Крепление: "&amp;'Опросный лист сигнализатор'!I22</f>
        <v xml:space="preserve">Крепление: </v>
      </c>
    </row>
    <row r="69" spans="1:5" ht="16.5" customHeight="1" x14ac:dyDescent="0.2">
      <c r="A69" s="28" t="s">
        <v>37</v>
      </c>
      <c r="D69" s="4" t="s">
        <v>28</v>
      </c>
      <c r="E69" s="4" t="s">
        <v>29</v>
      </c>
    </row>
    <row r="70" spans="1:5" ht="16.5" customHeight="1" x14ac:dyDescent="0.2">
      <c r="A70" s="47">
        <v>1</v>
      </c>
      <c r="B70" s="51" t="str">
        <f>INDEX(D70:D71,A70,1)</f>
        <v>не требуется</v>
      </c>
      <c r="C70" s="47" t="str">
        <f>VLOOKUP(B70,Таблица617[#All],2,)</f>
        <v/>
      </c>
      <c r="D70" s="4" t="s">
        <v>11</v>
      </c>
      <c r="E70" s="9" t="s">
        <v>19</v>
      </c>
    </row>
    <row r="71" spans="1:5" ht="16.5" customHeight="1" x14ac:dyDescent="0.2">
      <c r="D71" s="4" t="s">
        <v>21</v>
      </c>
      <c r="E71" s="4" t="s">
        <v>48</v>
      </c>
    </row>
    <row r="74" spans="1:5" ht="16.5" customHeight="1" x14ac:dyDescent="0.2">
      <c r="A74" s="10" t="str">
        <f ca="1">C5&amp;" ("&amp;C4&amp;C26&amp;C30&amp;C35&amp;C45&amp;C56&amp;C51&amp;")"</f>
        <v>Сигнализатор "Автон" (Щ0, 1м, LoRa)</v>
      </c>
      <c r="B74" s="11"/>
      <c r="C74" s="10"/>
    </row>
    <row r="75" spans="1:5" ht="16.5" customHeight="1" x14ac:dyDescent="0.2">
      <c r="A75" s="4" t="s">
        <v>39</v>
      </c>
    </row>
    <row r="76" spans="1:5" ht="59.25" customHeight="1" x14ac:dyDescent="0.2">
      <c r="A76" s="56" t="str">
        <f>VLOOKUP(B4,Таблица111[#All],4,)</f>
        <v>Сигнализатор дискретный Холла A555.00.00-10</v>
      </c>
      <c r="B76" s="57" t="str">
        <f>VLOOKUP(B4,Таблица111[#All],5,)</f>
        <v>Преобразователь измерительный дискретного сигнала с датчиком Холла A555</v>
      </c>
      <c r="C76" s="10"/>
    </row>
    <row r="77" spans="1:5" ht="16.5" customHeight="1" x14ac:dyDescent="0.2">
      <c r="A77" s="114" t="s">
        <v>40</v>
      </c>
      <c r="B77" s="114"/>
      <c r="C77" s="10"/>
    </row>
    <row r="78" spans="1:5" ht="16.5" customHeight="1" x14ac:dyDescent="0.2">
      <c r="A78" s="10" t="str">
        <f ca="1">C14</f>
        <v/>
      </c>
      <c r="B78" s="11"/>
      <c r="C78" s="10"/>
    </row>
    <row r="79" spans="1:5" ht="16.5" customHeight="1" x14ac:dyDescent="0.2">
      <c r="A79" s="10" t="str">
        <f ca="1">C20</f>
        <v/>
      </c>
      <c r="B79" s="11"/>
      <c r="C79" s="10"/>
    </row>
    <row r="80" spans="1:5" ht="16.5" customHeight="1" x14ac:dyDescent="0.2">
      <c r="A80" s="10" t="str">
        <f>C62</f>
        <v/>
      </c>
      <c r="B80" s="11"/>
      <c r="C80" s="10"/>
    </row>
    <row r="83" spans="1:4" ht="16.5" customHeight="1" x14ac:dyDescent="0.25">
      <c r="A83" s="48" t="s">
        <v>79</v>
      </c>
      <c r="B83" s="62"/>
      <c r="C83" s="61"/>
      <c r="D83" s="61"/>
    </row>
    <row r="84" spans="1:4" ht="16.5" customHeight="1" x14ac:dyDescent="0.2">
      <c r="A84" s="63">
        <v>45425</v>
      </c>
      <c r="B84" s="111" t="s">
        <v>80</v>
      </c>
      <c r="C84" s="111"/>
      <c r="D84" s="111"/>
    </row>
    <row r="85" spans="1:4" ht="16.5" customHeight="1" x14ac:dyDescent="0.2">
      <c r="A85" s="63">
        <v>45457</v>
      </c>
      <c r="B85" s="111" t="s">
        <v>81</v>
      </c>
      <c r="C85" s="111"/>
      <c r="D85" s="111"/>
    </row>
    <row r="86" spans="1:4" ht="16.5" customHeight="1" x14ac:dyDescent="0.2">
      <c r="A86" s="63">
        <v>45478</v>
      </c>
      <c r="B86" s="111" t="s">
        <v>82</v>
      </c>
      <c r="C86" s="111"/>
      <c r="D86" s="111"/>
    </row>
    <row r="87" spans="1:4" ht="34.5" customHeight="1" x14ac:dyDescent="0.2">
      <c r="A87" s="63">
        <v>45489</v>
      </c>
      <c r="B87" s="112" t="s">
        <v>89</v>
      </c>
      <c r="C87" s="112"/>
      <c r="D87" s="112"/>
    </row>
    <row r="88" spans="1:4" ht="16.5" customHeight="1" x14ac:dyDescent="0.2">
      <c r="A88" s="63">
        <v>45527</v>
      </c>
      <c r="B88" s="112" t="s">
        <v>88</v>
      </c>
      <c r="C88" s="112"/>
      <c r="D88" s="112"/>
    </row>
    <row r="89" spans="1:4" ht="16.5" customHeight="1" x14ac:dyDescent="0.2">
      <c r="A89" s="63">
        <v>45638</v>
      </c>
      <c r="B89" s="112" t="s">
        <v>87</v>
      </c>
      <c r="C89" s="112"/>
      <c r="D89" s="112"/>
    </row>
    <row r="90" spans="1:4" ht="127.5" customHeight="1" x14ac:dyDescent="0.2">
      <c r="A90" s="63">
        <v>45651</v>
      </c>
      <c r="B90" s="112" t="s">
        <v>100</v>
      </c>
      <c r="C90" s="112"/>
      <c r="D90" s="112"/>
    </row>
    <row r="91" spans="1:4" ht="33.75" customHeight="1" x14ac:dyDescent="0.2">
      <c r="A91" s="63">
        <v>45679</v>
      </c>
      <c r="B91" s="111" t="s">
        <v>101</v>
      </c>
      <c r="C91" s="111"/>
      <c r="D91" s="111"/>
    </row>
    <row r="92" spans="1:4" ht="16.5" customHeight="1" x14ac:dyDescent="0.2">
      <c r="A92" s="63">
        <v>45776</v>
      </c>
      <c r="B92" s="111" t="s">
        <v>107</v>
      </c>
      <c r="C92" s="111"/>
      <c r="D92" s="111"/>
    </row>
    <row r="108" spans="1:2" ht="16.5" customHeight="1" x14ac:dyDescent="0.2">
      <c r="A108" s="15"/>
      <c r="B108" s="16"/>
    </row>
  </sheetData>
  <mergeCells count="11">
    <mergeCell ref="B92:D92"/>
    <mergeCell ref="A1:B1"/>
    <mergeCell ref="A77:B77"/>
    <mergeCell ref="B84:D84"/>
    <mergeCell ref="B85:D85"/>
    <mergeCell ref="B86:D86"/>
    <mergeCell ref="B91:D91"/>
    <mergeCell ref="B90:D90"/>
    <mergeCell ref="B89:D89"/>
    <mergeCell ref="B88:D88"/>
    <mergeCell ref="B87:D87"/>
  </mergeCells>
  <pageMargins left="0.6692913385826772" right="0.15748031496062992" top="0.35433070866141736" bottom="0.27559055118110237" header="0.19685039370078741" footer="0.23622047244094491"/>
  <pageSetup paperSize="9" scale="78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I4" sqref="I4"/>
    </sheetView>
  </sheetViews>
  <sheetFormatPr defaultRowHeight="12.75" x14ac:dyDescent="0.2"/>
  <cols>
    <col min="1" max="1" width="4.7109375" customWidth="1"/>
    <col min="2" max="2" width="30.140625" customWidth="1"/>
    <col min="3" max="3" width="62.28515625" customWidth="1"/>
  </cols>
  <sheetData>
    <row r="1" spans="1:3" ht="27" customHeight="1" x14ac:dyDescent="0.25">
      <c r="A1" s="77" t="s">
        <v>91</v>
      </c>
    </row>
    <row r="2" spans="1:3" ht="150" customHeight="1" x14ac:dyDescent="0.2">
      <c r="A2" s="115"/>
      <c r="B2" s="115"/>
      <c r="C2" s="115"/>
    </row>
    <row r="3" spans="1:3" ht="25.5" customHeight="1" x14ac:dyDescent="0.25">
      <c r="A3" s="77" t="s">
        <v>94</v>
      </c>
    </row>
    <row r="4" spans="1:3" ht="300.75" customHeight="1" x14ac:dyDescent="0.2">
      <c r="A4" s="115"/>
      <c r="B4" s="115"/>
      <c r="C4" s="115"/>
    </row>
    <row r="5" spans="1:3" ht="293.25" customHeight="1" x14ac:dyDescent="0.2">
      <c r="A5" s="115"/>
      <c r="B5" s="115"/>
      <c r="C5" s="115"/>
    </row>
    <row r="6" spans="1:3" ht="23.25" customHeight="1" x14ac:dyDescent="0.25">
      <c r="A6" s="77" t="s">
        <v>90</v>
      </c>
    </row>
    <row r="7" spans="1:3" ht="192.75" customHeight="1" x14ac:dyDescent="0.2">
      <c r="A7" s="115"/>
      <c r="B7" s="115"/>
      <c r="C7" s="115"/>
    </row>
    <row r="8" spans="1:3" ht="21.75" customHeight="1" x14ac:dyDescent="0.25">
      <c r="A8" s="116" t="s">
        <v>77</v>
      </c>
      <c r="B8" s="116"/>
      <c r="C8" s="116"/>
    </row>
    <row r="9" spans="1:3" ht="14.25" x14ac:dyDescent="0.2">
      <c r="A9" s="59"/>
      <c r="B9" s="93" t="s">
        <v>104</v>
      </c>
      <c r="C9" s="93" t="s">
        <v>105</v>
      </c>
    </row>
    <row r="10" spans="1:3" ht="407.25" customHeight="1" x14ac:dyDescent="0.2">
      <c r="A10" s="59"/>
      <c r="B10" s="59"/>
    </row>
  </sheetData>
  <mergeCells count="5">
    <mergeCell ref="A4:C4"/>
    <mergeCell ref="A7:C7"/>
    <mergeCell ref="A8:C8"/>
    <mergeCell ref="A2:C2"/>
    <mergeCell ref="A5:C5"/>
  </mergeCells>
  <pageMargins left="0.70866141732283472" right="0.39" top="0.45" bottom="0.74803149606299213" header="0.31496062992125984" footer="0.31496062992125984"/>
  <pageSetup paperSize="9" scale="91" fitToHeight="2" orientation="portrait" horizontalDpi="4294967292" verticalDpi="1200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Опросный лист сигнализатор</vt:lpstr>
      <vt:lpstr>Лист1</vt:lpstr>
      <vt:lpstr>Справка</vt:lpstr>
      <vt:lpstr>Габаритные_размеры_датчика_наличия_жидкости_в_емкости_трубе_с_подвижным_штуцером</vt:lpstr>
      <vt:lpstr>'Опросный лист сигнализатор'!Область_печати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2024-12-20T09:35:04Z</cp:lastPrinted>
  <dcterms:created xsi:type="dcterms:W3CDTF">2008-11-24T06:26:29Z</dcterms:created>
  <dcterms:modified xsi:type="dcterms:W3CDTF">2025-04-29T15:12:24Z</dcterms:modified>
</cp:coreProperties>
</file>