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1280" yWindow="180" windowWidth="13710" windowHeight="12195"/>
  </bookViews>
  <sheets>
    <sheet name="Опросный лист газоанализатор" sheetId="2" r:id="rId1"/>
    <sheet name="Лист1" sheetId="4" state="hidden" r:id="rId2"/>
    <sheet name="Справка" sheetId="5" r:id="rId3"/>
  </sheets>
  <externalReferences>
    <externalReference r:id="rId4"/>
    <externalReference r:id="rId5"/>
  </externalReferences>
  <definedNames>
    <definedName name="Test" localSheetId="1">#REF!</definedName>
    <definedName name="Test" localSheetId="2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 localSheetId="2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 localSheetId="2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 localSheetId="2">'[2]Опросный лист амперметр'!#REF!</definedName>
    <definedName name="Конструктивное_исполнение">'Опросный лист газоанализатор'!#REF!</definedName>
    <definedName name="_xlnm.Print_Area" localSheetId="1">Лист1!#REF!</definedName>
    <definedName name="_xlnm.Print_Area" localSheetId="0">'Опросный лист газоанализатор'!$A$2:$I$43</definedName>
    <definedName name="Поверка">'[1]Опросный лист термоманометр'!$L$101:$L$102</definedName>
    <definedName name="Пульт_калибровки_ПК_01_производства_ООО__НИИИТ">Справка!$A$5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 localSheetId="2">'[2]Опросный лист амперметр'!#REF!</definedName>
    <definedName name="Температура_Диапазон">'Опросный лист газоанализатор'!#REF!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B95" i="4" l="1"/>
  <c r="C95" i="4" s="1"/>
  <c r="C39" i="2" s="1"/>
  <c r="B82" i="4" l="1"/>
  <c r="C42" i="2" l="1"/>
  <c r="D29" i="4" l="1"/>
  <c r="D28" i="4"/>
  <c r="D27" i="4"/>
  <c r="D26" i="4"/>
  <c r="D25" i="4"/>
  <c r="B24" i="4" s="1"/>
  <c r="D52" i="4" l="1"/>
  <c r="D51" i="4"/>
  <c r="D50" i="4"/>
  <c r="D49" i="4"/>
  <c r="D48" i="4"/>
  <c r="B47" i="4" l="1"/>
  <c r="A101" i="4" s="1"/>
  <c r="D41" i="4"/>
  <c r="D42" i="4"/>
  <c r="D43" i="4"/>
  <c r="D44" i="4"/>
  <c r="D40" i="4"/>
  <c r="B39" i="4" l="1"/>
  <c r="C7" i="2" s="1"/>
  <c r="D35" i="4"/>
  <c r="B77" i="4" l="1"/>
  <c r="C77" i="4" s="1"/>
  <c r="B12" i="2" l="1"/>
  <c r="B10" i="2"/>
  <c r="C82" i="4" l="1"/>
  <c r="D33" i="4" l="1"/>
  <c r="D34" i="4"/>
  <c r="D36" i="4"/>
  <c r="D32" i="4"/>
  <c r="C31" i="4" s="1"/>
  <c r="C32" i="4" l="1"/>
  <c r="C41" i="2" s="1"/>
  <c r="H74" i="4"/>
  <c r="F21" i="4" l="1"/>
  <c r="E74" i="4" l="1"/>
  <c r="D74" i="4"/>
  <c r="E73" i="4"/>
  <c r="D73" i="4"/>
  <c r="E72" i="4"/>
  <c r="D72" i="4"/>
  <c r="E63" i="4"/>
  <c r="E64" i="4"/>
  <c r="E65" i="4"/>
  <c r="E66" i="4"/>
  <c r="E67" i="4"/>
  <c r="E62" i="4"/>
  <c r="D62" i="4"/>
  <c r="D63" i="4"/>
  <c r="D64" i="4"/>
  <c r="D65" i="4"/>
  <c r="D66" i="4"/>
  <c r="D67" i="4"/>
  <c r="D68" i="4"/>
  <c r="H68" i="4"/>
  <c r="E68" i="4" s="1"/>
  <c r="B56" i="4"/>
  <c r="C56" i="4" l="1"/>
  <c r="B4" i="4"/>
  <c r="B31" i="4"/>
  <c r="C4" i="4" l="1"/>
  <c r="C24" i="4"/>
  <c r="C5" i="2" s="1"/>
  <c r="B88" i="4"/>
  <c r="C88" i="4" s="1"/>
  <c r="C38" i="2" s="1"/>
  <c r="E92" i="4"/>
  <c r="E85" i="4" l="1"/>
  <c r="D84" i="4"/>
  <c r="E84" i="4"/>
  <c r="D85" i="4"/>
  <c r="B71" i="4"/>
  <c r="C71" i="4" s="1"/>
  <c r="B61" i="4"/>
  <c r="C61" i="4" s="1"/>
  <c r="A100" i="4" l="1"/>
  <c r="C36" i="2" s="1"/>
</calcChain>
</file>

<file path=xl/comments1.xml><?xml version="1.0" encoding="utf-8"?>
<comments xmlns="http://schemas.openxmlformats.org/spreadsheetml/2006/main">
  <authors>
    <author>Кукина Ольга</author>
  </authors>
  <commentList>
    <comment ref="A18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  <comment ref="A20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</commentList>
</comments>
</file>

<file path=xl/sharedStrings.xml><?xml version="1.0" encoding="utf-8"?>
<sst xmlns="http://schemas.openxmlformats.org/spreadsheetml/2006/main" count="589" uniqueCount="206">
  <si>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</si>
  <si>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</si>
  <si>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</si>
  <si>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</si>
  <si>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</si>
  <si>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другое</t>
  </si>
  <si>
    <t>другая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</si>
  <si>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</si>
  <si>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</si>
  <si>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</si>
  <si>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</si>
  <si>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</si>
  <si>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</si>
  <si>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</si>
  <si>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труба гофрированная полимерная</t>
  </si>
  <si>
    <t>Длина кабеля, м</t>
  </si>
  <si>
    <t>Выбранный вариант</t>
  </si>
  <si>
    <t>В спецификацию</t>
  </si>
  <si>
    <t/>
  </si>
  <si>
    <t>Опции</t>
  </si>
  <si>
    <t>Столбец1</t>
  </si>
  <si>
    <t>Столбец2</t>
  </si>
  <si>
    <t>, 1м</t>
  </si>
  <si>
    <t>, 2м</t>
  </si>
  <si>
    <t>, 3м</t>
  </si>
  <si>
    <t>, 5м</t>
  </si>
  <si>
    <t>, 7м</t>
  </si>
  <si>
    <t>, 10м</t>
  </si>
  <si>
    <t>, ТГ</t>
  </si>
  <si>
    <t>, LoRa</t>
  </si>
  <si>
    <t>Передача данных</t>
  </si>
  <si>
    <t>LoRaWAN + Bluetooth Low Energy</t>
  </si>
  <si>
    <t>NB-IoT + Bluetooth Low Energy</t>
  </si>
  <si>
    <t>, NB-IoT</t>
  </si>
  <si>
    <t>Дополнительная комплектация:</t>
  </si>
  <si>
    <t>Измеряемый газ</t>
  </si>
  <si>
    <t>Конструктивное исполнение</t>
  </si>
  <si>
    <t>Азота диоксид</t>
  </si>
  <si>
    <t>Азота оксид</t>
  </si>
  <si>
    <t>Аммиак</t>
  </si>
  <si>
    <t>Водород</t>
  </si>
  <si>
    <t>Водород хлористый</t>
  </si>
  <si>
    <t>Кислород</t>
  </si>
  <si>
    <t>Метан</t>
  </si>
  <si>
    <t>Метанол</t>
  </si>
  <si>
    <t>Пропан</t>
  </si>
  <si>
    <t>Сероводород</t>
  </si>
  <si>
    <t>Серы диоксид</t>
  </si>
  <si>
    <t>Формальдегид</t>
  </si>
  <si>
    <t>Этанол</t>
  </si>
  <si>
    <t>Столбец3</t>
  </si>
  <si>
    <t>NO2</t>
  </si>
  <si>
    <t>NO</t>
  </si>
  <si>
    <t>NH3</t>
  </si>
  <si>
    <t>H2</t>
  </si>
  <si>
    <t>HCl</t>
  </si>
  <si>
    <t>O2</t>
  </si>
  <si>
    <t>CH4</t>
  </si>
  <si>
    <t>CH3OH</t>
  </si>
  <si>
    <t>C3H8</t>
  </si>
  <si>
    <t>H2S</t>
  </si>
  <si>
    <t>SO2</t>
  </si>
  <si>
    <t>H2CO</t>
  </si>
  <si>
    <t>C2H5OH</t>
  </si>
  <si>
    <t>Азота диоксид NO2</t>
  </si>
  <si>
    <t>Азота оксид NO</t>
  </si>
  <si>
    <t>Аммиак NH3</t>
  </si>
  <si>
    <t>Водород H2</t>
  </si>
  <si>
    <t>Водород хлористый HCl</t>
  </si>
  <si>
    <t>Кислород O2</t>
  </si>
  <si>
    <t>Метан CH4</t>
  </si>
  <si>
    <t>Метанол CH3OH</t>
  </si>
  <si>
    <t>Пропан C3H8</t>
  </si>
  <si>
    <t>Сероводород H2S</t>
  </si>
  <si>
    <t>Серы диоксид SO2</t>
  </si>
  <si>
    <t>Формальдегид H2CO</t>
  </si>
  <si>
    <t>Этанол C2H5OH</t>
  </si>
  <si>
    <t>с выносным сенсором</t>
  </si>
  <si>
    <t xml:space="preserve"> моноблочный</t>
  </si>
  <si>
    <t>моноблочный</t>
  </si>
  <si>
    <t>другой</t>
  </si>
  <si>
    <t xml:space="preserve">Опросный лист на Газоанализатор "Автон" </t>
  </si>
  <si>
    <t>Диапазон и погрешность измерений</t>
  </si>
  <si>
    <t>10..500 мг/м3, 10%</t>
  </si>
  <si>
    <t>10..1000 мг/м3, 10%</t>
  </si>
  <si>
    <t>0.01..30 мг/м3, 25%</t>
  </si>
  <si>
    <t>0.1..30 мг/м3, 20%</t>
  </si>
  <si>
    <t>по согласованию</t>
  </si>
  <si>
    <t>Рабочие условия эксплуатации</t>
  </si>
  <si>
    <t>от -40 до +60 °C (индустриальный температурный диапазон)</t>
  </si>
  <si>
    <t>Крепление</t>
  </si>
  <si>
    <t>Кронштейн</t>
  </si>
  <si>
    <t>Кронштейн магнитный</t>
  </si>
  <si>
    <t>Варианты креплений</t>
  </si>
  <si>
    <t>?</t>
  </si>
  <si>
    <t>Бутан С4Н10</t>
  </si>
  <si>
    <t>Углерода оксид CO</t>
  </si>
  <si>
    <t>Хлор Cl2</t>
  </si>
  <si>
    <t>Бутан</t>
  </si>
  <si>
    <t>Углерода оксид</t>
  </si>
  <si>
    <t>Хлор</t>
  </si>
  <si>
    <t>С4Н10</t>
  </si>
  <si>
    <t>CO</t>
  </si>
  <si>
    <t>Cl2</t>
  </si>
  <si>
    <t>0..30 мг/м3, 15%</t>
  </si>
  <si>
    <t>0..200 мг/м3, 15%</t>
  </si>
  <si>
    <t>0..300 мг/м3, 10%</t>
  </si>
  <si>
    <t>0.1..30 мг/м3, 25%</t>
  </si>
  <si>
    <t>0.1..30 мг/м3, 10%</t>
  </si>
  <si>
    <t>10..1500 мг/м3, 10%</t>
  </si>
  <si>
    <t>1..200 мг/м3, 10%</t>
  </si>
  <si>
    <t>1..300 мг/м3, 10%</t>
  </si>
  <si>
    <t>10..3000 мг/м3, 10%</t>
  </si>
  <si>
    <t>Комментарий</t>
  </si>
  <si>
    <t>для диапазона от 0 до 1.0 мг/м3 включительно приведенная погрешность ±20%, для диапазона свыше 1.0 до 30 мг/м3 включительно относительная погрешность ±15%</t>
  </si>
  <si>
    <t>для диапазона от 0 до 1.5 мг/м3 включительно приведенная погрешность ±20%, для диапазона свыше 1.5 до 30 мг/м3 включительно относительная погрешность ±15%</t>
  </si>
  <si>
    <t>для диапазона от 0 до 10 мг/м3 включительно приведенная погрешность ±20%, для диапазона свыше 10 до 200 мг/м3 включительно относительная погрешность ±15%</t>
  </si>
  <si>
    <t>для диапазона от 0.01 до 30 мг/м3 относительная погрешность ±25%</t>
  </si>
  <si>
    <r>
      <t xml:space="preserve">для диапазона от 0.1 до 30 мг/м3 относительная погрешность </t>
    </r>
    <r>
      <rPr>
        <sz val="10"/>
        <color theme="1"/>
        <rFont val="Calibri"/>
        <family val="2"/>
        <charset val="204"/>
      </rPr>
      <t>±</t>
    </r>
    <r>
      <rPr>
        <sz val="10"/>
        <color theme="1"/>
        <rFont val="Arial"/>
        <family val="2"/>
        <charset val="204"/>
      </rPr>
      <t>20%</t>
    </r>
  </si>
  <si>
    <t>для диапазона от 0 до 5.0 мг/м3 включительно приведенная погрешность ±20%, для диапазона свыше 5.0 до 30 мг/м3 включительно относительная погрешность ±15%</t>
  </si>
  <si>
    <t>для диапазона от 0 до 10 мг/м3 включительно приведенная погрешность ±15%, для диапазона свыше 10 до 300 мг/м3 включительно относительная погрешность ±10%</t>
  </si>
  <si>
    <r>
      <t>для диапазона от 0.1 до 30 мг/м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относительная погрешность </t>
    </r>
    <r>
      <rPr>
        <sz val="10"/>
        <color theme="1"/>
        <rFont val="Calibri"/>
        <family val="2"/>
        <charset val="204"/>
      </rPr>
      <t>±25</t>
    </r>
    <r>
      <rPr>
        <sz val="10"/>
        <color theme="1"/>
        <rFont val="Arial"/>
        <family val="2"/>
        <charset val="204"/>
      </rPr>
      <t>%</t>
    </r>
  </si>
  <si>
    <r>
      <t>для диапазона от 0.1 до 30 мг/м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относительная погрешность </t>
    </r>
    <r>
      <rPr>
        <sz val="10"/>
        <color theme="1"/>
        <rFont val="Calibri"/>
        <family val="2"/>
        <charset val="204"/>
      </rPr>
      <t>±10</t>
    </r>
    <r>
      <rPr>
        <sz val="10"/>
        <color theme="1"/>
        <rFont val="Arial"/>
        <family val="2"/>
        <charset val="204"/>
      </rPr>
      <t>%</t>
    </r>
  </si>
  <si>
    <t>для диапазона от 10 до 500 мг/м3 относительная погрешность ±10%</t>
  </si>
  <si>
    <t>для диапазона от 10 до 1000 мг/м3 относительная погрешность ±10%</t>
  </si>
  <si>
    <t>для диапазона от 10 до 1500 мг/м3 относительная погрешность ±10%</t>
  </si>
  <si>
    <r>
      <t>для диапазона от 1 до 200 мг/м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относительная погрешность </t>
    </r>
    <r>
      <rPr>
        <sz val="10"/>
        <color theme="1"/>
        <rFont val="Calibri"/>
        <family val="2"/>
        <charset val="204"/>
      </rPr>
      <t>±</t>
    </r>
    <r>
      <rPr>
        <sz val="10"/>
        <color theme="1"/>
        <rFont val="Arial"/>
        <family val="2"/>
        <charset val="204"/>
      </rPr>
      <t>10%</t>
    </r>
  </si>
  <si>
    <r>
      <t>для диапазона от 1 до 300 мг/м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относительная погрешность </t>
    </r>
    <r>
      <rPr>
        <sz val="10"/>
        <color theme="1"/>
        <rFont val="Calibri"/>
        <family val="2"/>
        <charset val="204"/>
      </rPr>
      <t>±</t>
    </r>
    <r>
      <rPr>
        <sz val="10"/>
        <color theme="1"/>
        <rFont val="Arial"/>
        <family val="2"/>
        <charset val="204"/>
      </rPr>
      <t>10%</t>
    </r>
  </si>
  <si>
    <r>
      <t>для диапазона от 10 до 3000 мг/м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относительная погрешность </t>
    </r>
    <r>
      <rPr>
        <sz val="10"/>
        <color theme="1"/>
        <rFont val="Calibri"/>
        <family val="2"/>
        <charset val="204"/>
      </rPr>
      <t>±</t>
    </r>
    <r>
      <rPr>
        <sz val="10"/>
        <color theme="1"/>
        <rFont val="Arial"/>
        <family val="2"/>
        <charset val="204"/>
      </rPr>
      <t>10%</t>
    </r>
  </si>
  <si>
    <t>Сенсор</t>
  </si>
  <si>
    <t>Комплектация</t>
  </si>
  <si>
    <t>Газоанализатор Сенсон-СМ-9001-NO2-2-ЭХ</t>
  </si>
  <si>
    <t>Газоанализатор Сенсон-СМ-9001-NO-2-ЭХ</t>
  </si>
  <si>
    <t>Газоанализатор Сенсон-СМ-9001-NH3-2-ЭХ</t>
  </si>
  <si>
    <t>Газоанализатор Сенсон-СМ-9001-С4Н10-21-ТК</t>
  </si>
  <si>
    <t>Газоанализатор Сенсон-СМ-9001-H2-2-ЭХ</t>
  </si>
  <si>
    <t>Газоанализатор Сенсон-СМ-9001-HCl-2-ЭХ</t>
  </si>
  <si>
    <t>Газоанализатор Сенсон-СМ-9001-O2-1-ЭХ</t>
  </si>
  <si>
    <t>Газоанализатор Сенсон-СМ-9001-CH4-21-ТК</t>
  </si>
  <si>
    <t>Газоанализатор Сенсон-СМ-9001-CH3OH-2-ЭХ</t>
  </si>
  <si>
    <t>Газоанализатор Сенсон-СМ-9001-C3H8-21-ТК</t>
  </si>
  <si>
    <t>Газоанализатор Сенсон-СМ-9001-H2S-2-ЭХ</t>
  </si>
  <si>
    <t>Газоанализатор Сенсон-СМ-9001-CO-2-ЭХ</t>
  </si>
  <si>
    <t>Газоанализатор Сенсон-СМ-9001-H2CO-2-ЭХ</t>
  </si>
  <si>
    <t>Газоанализатор Сенсон-СМ-9001-Cl2-2-ЭХ</t>
  </si>
  <si>
    <t>Газоанализатор Сенсон-СМ-9001-C2H5OH-21-ТК</t>
  </si>
  <si>
    <t>Газоанализатор Сенсон-СМ-9001-NO2-3-ЭХ</t>
  </si>
  <si>
    <t>Газоанализатор Сенсон-СМ-9001-NO-3-ЭХ</t>
  </si>
  <si>
    <t>Газоанализатор Сенсон-СМ-9001-NH3-3-ЭХ</t>
  </si>
  <si>
    <t>Газоанализатор Сенсон-СМ-9001-С4Н10-41-ТК</t>
  </si>
  <si>
    <t>Газоанализатор Сенсон-СМ-9001-H23-ЭХ</t>
  </si>
  <si>
    <t>Газоанализатор Сенсон-СМ-9001-O2-2-ЭХ</t>
  </si>
  <si>
    <t>Газоанализатор Сенсон-СМ-9001-CH4-41-ТК</t>
  </si>
  <si>
    <t>Газоанализатор Сенсон-СМ-9001-C3H8-41-ТК</t>
  </si>
  <si>
    <t>Газоанализатор Сенсон-СМ-9001-H2S-3-ЭХ</t>
  </si>
  <si>
    <t>Газоанализатор Сенсон-СМ-9001-CO-3-ЭХ</t>
  </si>
  <si>
    <t>Газоанализатор Сенсон-СМ-9001-C2H5OH-41-ТК</t>
  </si>
  <si>
    <t>Газоанализатор Сенсон-СМ-9001-H2-21-ТК</t>
  </si>
  <si>
    <t>Газоанализатор Сенсон-СМ-9001-O2-3-ЭХ</t>
  </si>
  <si>
    <t>Газоанализатор Сенсон-СМ-9001-H2-41-ТК</t>
  </si>
  <si>
    <t>0..0.7% об., 0.07%</t>
  </si>
  <si>
    <t>0.01..4% об., 10%</t>
  </si>
  <si>
    <t>0.01..1% об., 10%</t>
  </si>
  <si>
    <t>0..2.5% об., 0.22%</t>
  </si>
  <si>
    <t>0..0.85% об., 0.09%</t>
  </si>
  <si>
    <t>0..50% НКПР, 5%</t>
  </si>
  <si>
    <t>0.01..1.55% об., 15%</t>
  </si>
  <si>
    <t>1..100% об., 5%</t>
  </si>
  <si>
    <t>0.1..30% об., 5%</t>
  </si>
  <si>
    <t>0..57% НКПР, 5% НКПР</t>
  </si>
  <si>
    <t>0.32..50% НКПР, 15%</t>
  </si>
  <si>
    <t>0..2% об., 0.2%</t>
  </si>
  <si>
    <t>1..100% об., 1%</t>
  </si>
  <si>
    <t>для диапазона от 0 до 0.7% об. абсолютная погрешность ±0.07%</t>
  </si>
  <si>
    <t>для диапазона от 0.01 до 4% об. относительная погрешность ±10%</t>
  </si>
  <si>
    <t>для диапазона от 0.01 до 1% об. относительная погрешность ±10%</t>
  </si>
  <si>
    <t>для диапазона от 0 до 2.5% об. абсолютная погрешность ±0.22%</t>
  </si>
  <si>
    <t>для диапазона от 0 до 0.85% об. абсолютная погрешность ±0.09%</t>
  </si>
  <si>
    <t>для диапазона от 0.01 до 1.55% об. относительная погрешность ±15%</t>
  </si>
  <si>
    <t>для диапазона от 0 до 50% НКПР абсолютная погрешность ±5% НКПР</t>
  </si>
  <si>
    <t>для диапазона от 1 до 100% об. относительная погрешность ±5%</t>
  </si>
  <si>
    <t>для диапазона от 0.1 до 30% об. относительная погрешность ±5%</t>
  </si>
  <si>
    <t>для диапазона от 0 до 57% НКПР абсолютная погрешность ±5% НКПР</t>
  </si>
  <si>
    <t>для диапазона от 0 до 50% НКПР абсолютная погрешность ±5%</t>
  </si>
  <si>
    <t>для диапазона от 0.32 до 50% НКПР относительная погрешность 15%</t>
  </si>
  <si>
    <t>для диапазона от 0 до 2% об. абсолютная погрешность ±0.2%</t>
  </si>
  <si>
    <t>для диапазона от 1 до 100% об. относительная погрешность ±1%</t>
  </si>
  <si>
    <t>Тип сенсора</t>
  </si>
  <si>
    <t>электрохимический</t>
  </si>
  <si>
    <t>термокаталитический</t>
  </si>
  <si>
    <t>История изменений:</t>
  </si>
  <si>
    <t>Добавила в комментарий тип сенсора (электрохимический, термокаталитический)
Заменила рисунок магнитного кронштейна
Исключила возможность выбора низкотемпературного и расширенного температурного режима для СН4</t>
  </si>
  <si>
    <t>Добавила версию на первую страницу.</t>
  </si>
  <si>
    <t>Убрала элементы ActiveX.</t>
  </si>
  <si>
    <t>Убрала расширенные температурные диапазоны.
Убрала общие углеводороды.</t>
  </si>
  <si>
    <t>Кронштейн в сборе K005.24</t>
  </si>
  <si>
    <t xml:space="preserve">Крепление магнитное K005.17-02 </t>
  </si>
  <si>
    <t>Кронштейн в сборе</t>
  </si>
  <si>
    <t>Крепление магнитное</t>
  </si>
  <si>
    <t>Дополнительная комплектация</t>
  </si>
  <si>
    <t>Пульт калибровки ПК-01</t>
  </si>
  <si>
    <t>пульт калибровки ПК-01</t>
  </si>
  <si>
    <t>Пульт калибровки ПК-01 производства ООО «НИИИТ»</t>
  </si>
  <si>
    <t>Заменила информацию о кронштейнах в связи с переходом на корпус из поликарбоната. 
Добавила пульт калибровки ПК-01.</t>
  </si>
  <si>
    <t>Сжатие изображений.</t>
  </si>
  <si>
    <t>Версия: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</si>
</sst>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color rgb="FF1E1E1E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u/>
      <sz val="10"/>
      <color theme="10"/>
      <name val="Arial Cyr"/>
      <charset val="204"/>
    </font>
    <font>
      <b/>
      <sz val="16"/>
      <color rgb="FF00B050"/>
      <name val="Arial Cyr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10"/>
      <name val="Arial Cyr"/>
      <charset val="204"/>
    </font>
    <font>
      <b/>
      <sz val="12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color theme="0" tint="-0.3499862666707357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22" fillId="0" borderId="21">
      <alignment horizontal="left" vertical="center"/>
      <protection locked="0" hidden="1"/>
    </xf>
  </cellStyleXfs>
  <cellXfs count="134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NumberFormat="1" applyFont="1"/>
    <xf numFmtId="0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8" fillId="0" borderId="0" xfId="0" quotePrefix="1" applyFont="1"/>
    <xf numFmtId="0" fontId="8" fillId="5" borderId="0" xfId="0" applyFont="1" applyFill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1" xfId="0" applyFont="1" applyBorder="1"/>
    <xf numFmtId="0" fontId="8" fillId="0" borderId="1" xfId="0" quotePrefix="1" applyFont="1" applyBorder="1"/>
    <xf numFmtId="0" fontId="8" fillId="0" borderId="1" xfId="0" applyFont="1" applyBorder="1" applyAlignment="1"/>
    <xf numFmtId="49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2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2" fontId="8" fillId="0" borderId="1" xfId="0" quotePrefix="1" applyNumberFormat="1" applyFont="1" applyBorder="1"/>
    <xf numFmtId="0" fontId="12" fillId="0" borderId="0" xfId="0" applyFont="1"/>
    <xf numFmtId="0" fontId="8" fillId="0" borderId="0" xfId="0" applyFont="1" applyFill="1" applyBorder="1" applyAlignment="1">
      <alignment horizontal="left"/>
    </xf>
    <xf numFmtId="49" fontId="10" fillId="0" borderId="1" xfId="1" applyNumberFormat="1" applyFont="1" applyFill="1" applyBorder="1" applyAlignment="1">
      <alignment vertical="center" wrapText="1"/>
    </xf>
    <xf numFmtId="49" fontId="8" fillId="0" borderId="1" xfId="0" quotePrefix="1" applyNumberFormat="1" applyFont="1" applyFill="1" applyBorder="1"/>
    <xf numFmtId="0" fontId="8" fillId="0" borderId="0" xfId="0" applyFont="1" applyFill="1"/>
    <xf numFmtId="0" fontId="8" fillId="4" borderId="0" xfId="0" applyFont="1" applyFill="1"/>
    <xf numFmtId="0" fontId="0" fillId="0" borderId="0" xfId="0" applyBorder="1"/>
    <xf numFmtId="0" fontId="0" fillId="0" borderId="2" xfId="0" applyBorder="1"/>
    <xf numFmtId="0" fontId="7" fillId="0" borderId="2" xfId="0" applyFont="1" applyBorder="1" applyAlignment="1">
      <alignment vertical="center"/>
    </xf>
    <xf numFmtId="0" fontId="0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0" fillId="0" borderId="4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1" xfId="0" applyFill="1" applyBorder="1"/>
    <xf numFmtId="0" fontId="0" fillId="0" borderId="12" xfId="0" applyFill="1" applyBorder="1"/>
    <xf numFmtId="0" fontId="13" fillId="0" borderId="0" xfId="0" applyNumberFormat="1" applyFont="1"/>
    <xf numFmtId="0" fontId="0" fillId="0" borderId="13" xfId="0" applyBorder="1"/>
    <xf numFmtId="0" fontId="14" fillId="0" borderId="0" xfId="0" applyFont="1" applyAlignment="1">
      <alignment vertical="center"/>
    </xf>
    <xf numFmtId="0" fontId="15" fillId="0" borderId="0" xfId="0" applyFont="1" applyAlignment="1"/>
    <xf numFmtId="0" fontId="15" fillId="0" borderId="0" xfId="0" applyFont="1"/>
    <xf numFmtId="0" fontId="10" fillId="6" borderId="14" xfId="0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49" fontId="8" fillId="0" borderId="1" xfId="0" applyNumberFormat="1" applyFont="1" applyFill="1" applyBorder="1"/>
    <xf numFmtId="0" fontId="0" fillId="0" borderId="1" xfId="0" applyBorder="1"/>
    <xf numFmtId="49" fontId="8" fillId="0" borderId="15" xfId="0" quotePrefix="1" applyNumberFormat="1" applyFont="1" applyFill="1" applyBorder="1"/>
    <xf numFmtId="0" fontId="0" fillId="0" borderId="15" xfId="0" applyBorder="1"/>
    <xf numFmtId="0" fontId="0" fillId="0" borderId="1" xfId="0" applyBorder="1" applyAlignment="1">
      <alignment vertical="top" wrapText="1"/>
    </xf>
    <xf numFmtId="49" fontId="10" fillId="0" borderId="1" xfId="1" applyNumberFormat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0" borderId="15" xfId="0" quotePrefix="1" applyFont="1" applyBorder="1"/>
    <xf numFmtId="49" fontId="8" fillId="0" borderId="15" xfId="0" quotePrefix="1" applyNumberFormat="1" applyFont="1" applyFill="1" applyBorder="1" applyAlignment="1">
      <alignment vertical="top"/>
    </xf>
    <xf numFmtId="0" fontId="0" fillId="0" borderId="1" xfId="0" quotePrefix="1" applyBorder="1"/>
    <xf numFmtId="0" fontId="0" fillId="0" borderId="15" xfId="0" quotePrefix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8" fillId="3" borderId="0" xfId="0" applyNumberFormat="1" applyFont="1" applyFill="1"/>
    <xf numFmtId="0" fontId="8" fillId="3" borderId="0" xfId="0" applyNumberFormat="1" applyFont="1" applyFill="1" applyAlignment="1">
      <alignment horizontal="left"/>
    </xf>
    <xf numFmtId="0" fontId="4" fillId="0" borderId="2" xfId="0" applyFont="1" applyBorder="1" applyProtection="1">
      <protection locked="0" hidden="1"/>
    </xf>
    <xf numFmtId="0" fontId="2" fillId="0" borderId="2" xfId="0" applyFont="1" applyBorder="1" applyProtection="1">
      <protection locked="0" hidden="1"/>
    </xf>
    <xf numFmtId="0" fontId="6" fillId="0" borderId="2" xfId="0" applyFont="1" applyFill="1" applyBorder="1" applyAlignment="1" applyProtection="1">
      <alignment vertical="center"/>
      <protection locked="0" hidden="1"/>
    </xf>
    <xf numFmtId="0" fontId="0" fillId="0" borderId="2" xfId="0" applyBorder="1" applyProtection="1">
      <protection locked="0" hidden="1"/>
    </xf>
    <xf numFmtId="14" fontId="20" fillId="0" borderId="0" xfId="0" applyNumberFormat="1" applyFont="1" applyBorder="1" applyAlignment="1">
      <alignment horizontal="right"/>
    </xf>
    <xf numFmtId="0" fontId="0" fillId="0" borderId="2" xfId="0" applyBorder="1" applyProtection="1">
      <protection hidden="1"/>
    </xf>
    <xf numFmtId="0" fontId="2" fillId="0" borderId="2" xfId="0" applyFont="1" applyBorder="1" applyProtection="1">
      <protection hidden="1"/>
    </xf>
    <xf numFmtId="0" fontId="0" fillId="3" borderId="3" xfId="0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2" fillId="0" borderId="2" xfId="0" applyFont="1" applyBorder="1" applyAlignment="1" applyProtection="1">
      <alignment vertical="top"/>
      <protection hidden="1"/>
    </xf>
    <xf numFmtId="0" fontId="2" fillId="0" borderId="2" xfId="0" applyFont="1" applyBorder="1" applyAlignment="1" applyProtection="1">
      <protection hidden="1"/>
    </xf>
    <xf numFmtId="0" fontId="17" fillId="0" borderId="2" xfId="2" applyFont="1" applyBorder="1" applyProtection="1">
      <protection hidden="1"/>
    </xf>
    <xf numFmtId="0" fontId="0" fillId="0" borderId="5" xfId="0" applyBorder="1" applyProtection="1">
      <protection hidden="1"/>
    </xf>
    <xf numFmtId="0" fontId="2" fillId="3" borderId="6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3" fillId="0" borderId="0" xfId="0" applyFont="1"/>
    <xf numFmtId="0" fontId="10" fillId="0" borderId="14" xfId="0" applyFont="1" applyBorder="1"/>
    <xf numFmtId="14" fontId="8" fillId="0" borderId="0" xfId="0" applyNumberFormat="1" applyFont="1" applyAlignment="1">
      <alignment vertical="center"/>
    </xf>
    <xf numFmtId="0" fontId="21" fillId="8" borderId="18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0" xfId="0" applyFont="1"/>
    <xf numFmtId="0" fontId="0" fillId="0" borderId="2" xfId="0" applyBorder="1" applyProtection="1">
      <protection locked="0"/>
    </xf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5" fillId="0" borderId="2" xfId="0" applyFont="1" applyBorder="1" applyProtection="1">
      <protection locked="0" hidden="1"/>
    </xf>
    <xf numFmtId="0" fontId="0" fillId="0" borderId="16" xfId="0" applyBorder="1" applyProtection="1">
      <protection locked="0"/>
    </xf>
    <xf numFmtId="0" fontId="0" fillId="0" borderId="4" xfId="0" applyFont="1" applyBorder="1"/>
    <xf numFmtId="0" fontId="2" fillId="0" borderId="5" xfId="0" applyFont="1" applyBorder="1" applyAlignment="1" applyProtection="1">
      <alignment wrapText="1"/>
      <protection locked="0" hidden="1"/>
    </xf>
    <xf numFmtId="0" fontId="5" fillId="0" borderId="22" xfId="0" applyFont="1" applyBorder="1" applyProtection="1">
      <protection locked="0" hidden="1"/>
    </xf>
    <xf numFmtId="0" fontId="2" fillId="0" borderId="16" xfId="0" applyFont="1" applyBorder="1" applyProtection="1">
      <protection locked="0" hidden="1"/>
    </xf>
    <xf numFmtId="0" fontId="0" fillId="0" borderId="5" xfId="0" applyBorder="1"/>
    <xf numFmtId="0" fontId="5" fillId="0" borderId="5" xfId="0" applyFont="1" applyBorder="1" applyProtection="1">
      <protection locked="0"/>
    </xf>
    <xf numFmtId="0" fontId="2" fillId="0" borderId="22" xfId="0" applyFont="1" applyBorder="1" applyProtection="1">
      <protection locked="0" hidden="1"/>
    </xf>
    <xf numFmtId="0" fontId="2" fillId="0" borderId="22" xfId="0" applyFont="1" applyBorder="1" applyProtection="1">
      <protection locked="0"/>
    </xf>
    <xf numFmtId="0" fontId="24" fillId="0" borderId="0" xfId="0" applyFont="1"/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1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18" xfId="0" applyFont="1" applyBorder="1" applyAlignment="1">
      <alignment horizontal="center"/>
    </xf>
    <xf numFmtId="0" fontId="23" fillId="0" borderId="16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right"/>
    </xf>
    <xf numFmtId="0" fontId="2" fillId="4" borderId="9" xfId="0" applyFont="1" applyFill="1" applyBorder="1" applyAlignment="1" applyProtection="1">
      <alignment horizontal="left" vertical="top" wrapText="1"/>
      <protection hidden="1"/>
    </xf>
    <xf numFmtId="0" fontId="2" fillId="4" borderId="20" xfId="0" applyFont="1" applyFill="1" applyBorder="1" applyAlignment="1" applyProtection="1">
      <alignment horizontal="left" vertical="top" wrapText="1"/>
      <protection hidden="1"/>
    </xf>
    <xf numFmtId="0" fontId="2" fillId="4" borderId="10" xfId="0" applyFont="1" applyFill="1" applyBorder="1" applyAlignment="1" applyProtection="1">
      <alignment horizontal="left" vertical="top" wrapText="1"/>
      <protection hidden="1"/>
    </xf>
    <xf numFmtId="0" fontId="2" fillId="4" borderId="3" xfId="0" applyFont="1" applyFill="1" applyBorder="1" applyAlignment="1" applyProtection="1">
      <alignment horizontal="left" vertical="top"/>
      <protection hidden="1"/>
    </xf>
    <xf numFmtId="0" fontId="2" fillId="4" borderId="9" xfId="0" applyFont="1" applyFill="1" applyBorder="1" applyAlignment="1" applyProtection="1">
      <alignment horizontal="left" vertical="top"/>
      <protection hidden="1"/>
    </xf>
    <xf numFmtId="0" fontId="2" fillId="4" borderId="20" xfId="0" applyFont="1" applyFill="1" applyBorder="1" applyAlignment="1" applyProtection="1">
      <alignment horizontal="left" vertical="top"/>
      <protection hidden="1"/>
    </xf>
    <xf numFmtId="0" fontId="2" fillId="4" borderId="10" xfId="0" applyFont="1" applyFill="1" applyBorder="1" applyAlignment="1" applyProtection="1">
      <alignment horizontal="left" vertical="top"/>
      <protection hidden="1"/>
    </xf>
    <xf numFmtId="0" fontId="0" fillId="4" borderId="9" xfId="0" applyFill="1" applyBorder="1" applyAlignment="1" applyProtection="1">
      <alignment horizontal="left" vertical="top"/>
      <protection hidden="1"/>
    </xf>
    <xf numFmtId="0" fontId="0" fillId="4" borderId="20" xfId="0" applyFill="1" applyBorder="1" applyAlignment="1" applyProtection="1">
      <alignment horizontal="left" vertical="top"/>
      <protection hidden="1"/>
    </xf>
    <xf numFmtId="0" fontId="0" fillId="4" borderId="10" xfId="0" applyFill="1" applyBorder="1" applyAlignment="1" applyProtection="1">
      <alignment horizontal="left" vertical="top"/>
      <protection hidden="1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left" vertical="top"/>
      <protection locked="0"/>
    </xf>
    <xf numFmtId="0" fontId="0" fillId="0" borderId="21" xfId="3" applyFont="1" applyProtection="1">
      <alignment horizontal="left" vertical="center"/>
      <protection locked="0"/>
    </xf>
    <xf numFmtId="0" fontId="22" fillId="0" borderId="21" xfId="3" applyProtection="1">
      <alignment horizontal="left" vertical="center"/>
      <protection locked="0"/>
    </xf>
    <xf numFmtId="0" fontId="23" fillId="0" borderId="16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0" fontId="8" fillId="7" borderId="0" xfId="0" applyFont="1" applyFill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1"/>
    <cellStyle name="Поле ввода" xfId="3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16" fmlaLink="Лист1!$A$61" fmlaRange="Лист1!$D$62:$D$68" noThreeD="1" val="0"/>
</file>

<file path=xl/ctrlProps/ctrlProp2.xml><?xml version="1.0" encoding="utf-8"?>
<formControlPr xmlns="http://schemas.microsoft.com/office/spreadsheetml/2009/9/main" objectType="Drop" dropStyle="combo" dx="16" fmlaLink="Лист1!$A$71" fmlaRange="Лист1!$D$72:$D$74" noThreeD="1" val="0"/>
</file>

<file path=xl/ctrlProps/ctrlProp3.xml><?xml version="1.0" encoding="utf-8"?>
<formControlPr xmlns="http://schemas.microsoft.com/office/spreadsheetml/2009/9/main" objectType="Drop" dropStyle="combo" dx="16" fmlaLink="Лист1!$A$88" fmlaRange="Лист1!$D$89:$D$92" noThreeD="1" val="0"/>
</file>

<file path=xl/ctrlProps/ctrlProp4.xml><?xml version="1.0" encoding="utf-8"?>
<formControlPr xmlns="http://schemas.microsoft.com/office/spreadsheetml/2009/9/main" objectType="Drop" dropLines="10" dropStyle="combo" dx="16" fmlaLink="Лист1!$A$77" fmlaRange="Лист1!$D$78:$D$79" noThreeD="1" val="0"/>
</file>

<file path=xl/ctrlProps/ctrlProp5.xml><?xml version="1.0" encoding="utf-8"?>
<formControlPr xmlns="http://schemas.microsoft.com/office/spreadsheetml/2009/9/main" objectType="Drop" dropLines="18" dropStyle="combo" dx="16" fmlaLink="Лист1!$A$4" fmlaRange="Лист1!$D$5:$D$21" noThreeD="1" val="0"/>
</file>

<file path=xl/ctrlProps/ctrlProp6.xml><?xml version="1.0" encoding="utf-8"?>
<formControlPr xmlns="http://schemas.microsoft.com/office/spreadsheetml/2009/9/main" objectType="Drop" dropLines="10" dropStyle="combo" dx="16" fmlaLink="Лист1!$A$31" fmlaRange="Лист1!$D$32:$D$36" noThreeD="1" val="0"/>
</file>

<file path=xl/ctrlProps/ctrlProp7.xml><?xml version="1.0" encoding="utf-8"?>
<formControlPr xmlns="http://schemas.microsoft.com/office/spreadsheetml/2009/9/main" objectType="Drop" dropLines="10" dropStyle="combo" dx="16" fmlaLink="Лист1!$A$56" fmlaRange="Лист1!$D$57:$D$57" noThreeD="1" val="0"/>
</file>

<file path=xl/ctrlProps/ctrlProp8.xml><?xml version="1.0" encoding="utf-8"?>
<formControlPr xmlns="http://schemas.microsoft.com/office/spreadsheetml/2009/9/main" objectType="Drop" dropLines="10" dropStyle="combo" dx="16" fmlaLink="Лист1!$A$82" fmlaRange="Лист1!$D$83" noThreeD="1" val="0"/>
</file>

<file path=xl/ctrlProps/ctrlProp9.xml><?xml version="1.0" encoding="utf-8"?>
<formControlPr xmlns="http://schemas.microsoft.com/office/spreadsheetml/2009/9/main" objectType="Drop" dropStyle="combo" dx="16" fmlaLink="Лист1!$A$95" fmlaRange="Лист1!$D$96:$E$97" noThreeD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28575</xdr:rowOff>
        </xdr:from>
        <xdr:to>
          <xdr:col>6</xdr:col>
          <xdr:colOff>2733675</xdr:colOff>
          <xdr:row>9</xdr:row>
          <xdr:rowOff>295275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19050</xdr:rowOff>
        </xdr:from>
        <xdr:to>
          <xdr:col>6</xdr:col>
          <xdr:colOff>2733675</xdr:colOff>
          <xdr:row>11</xdr:row>
          <xdr:rowOff>276225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28575</xdr:rowOff>
        </xdr:from>
        <xdr:to>
          <xdr:col>6</xdr:col>
          <xdr:colOff>2733675</xdr:colOff>
          <xdr:row>17</xdr:row>
          <xdr:rowOff>285750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28575</xdr:rowOff>
        </xdr:from>
        <xdr:to>
          <xdr:col>6</xdr:col>
          <xdr:colOff>2733675</xdr:colOff>
          <xdr:row>13</xdr:row>
          <xdr:rowOff>295275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28575</xdr:rowOff>
        </xdr:from>
        <xdr:to>
          <xdr:col>6</xdr:col>
          <xdr:colOff>2733675</xdr:colOff>
          <xdr:row>3</xdr:row>
          <xdr:rowOff>295275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</xdr:row>
          <xdr:rowOff>28575</xdr:rowOff>
        </xdr:from>
        <xdr:to>
          <xdr:col>6</xdr:col>
          <xdr:colOff>2733675</xdr:colOff>
          <xdr:row>5</xdr:row>
          <xdr:rowOff>295275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28575</xdr:rowOff>
        </xdr:from>
        <xdr:to>
          <xdr:col>6</xdr:col>
          <xdr:colOff>2733675</xdr:colOff>
          <xdr:row>7</xdr:row>
          <xdr:rowOff>295275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28575</xdr:rowOff>
        </xdr:from>
        <xdr:to>
          <xdr:col>6</xdr:col>
          <xdr:colOff>2733675</xdr:colOff>
          <xdr:row>15</xdr:row>
          <xdr:rowOff>295275</xdr:rowOff>
        </xdr:to>
        <xdr:sp macro="" textlink="">
          <xdr:nvSpPr>
            <xdr:cNvPr id="2160" name="Drop Down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28575</xdr:rowOff>
        </xdr:from>
        <xdr:to>
          <xdr:col>6</xdr:col>
          <xdr:colOff>2733675</xdr:colOff>
          <xdr:row>19</xdr:row>
          <xdr:rowOff>285750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57150</xdr:rowOff>
    </xdr:from>
    <xdr:to>
      <xdr:col>2</xdr:col>
      <xdr:colOff>2019301</xdr:colOff>
      <xdr:row>2</xdr:row>
      <xdr:rowOff>1391087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725" y="4819650"/>
          <a:ext cx="1971676" cy="1333937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2</xdr:row>
      <xdr:rowOff>66676</xdr:rowOff>
    </xdr:from>
    <xdr:to>
      <xdr:col>1</xdr:col>
      <xdr:colOff>1898171</xdr:colOff>
      <xdr:row>2</xdr:row>
      <xdr:rowOff>1581306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" y="4829176"/>
          <a:ext cx="1860072" cy="151463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2</xdr:row>
      <xdr:rowOff>1590676</xdr:rowOff>
    </xdr:from>
    <xdr:to>
      <xdr:col>1</xdr:col>
      <xdr:colOff>1885377</xdr:colOff>
      <xdr:row>2</xdr:row>
      <xdr:rowOff>5124967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6353176"/>
          <a:ext cx="1637727" cy="3534291"/>
        </a:xfrm>
        <a:prstGeom prst="rect">
          <a:avLst/>
        </a:prstGeom>
      </xdr:spPr>
    </xdr:pic>
    <xdr:clientData/>
  </xdr:twoCellAnchor>
  <xdr:twoCellAnchor editAs="oneCell">
    <xdr:from>
      <xdr:col>2</xdr:col>
      <xdr:colOff>303487</xdr:colOff>
      <xdr:row>2</xdr:row>
      <xdr:rowOff>1590677</xdr:rowOff>
    </xdr:from>
    <xdr:to>
      <xdr:col>2</xdr:col>
      <xdr:colOff>2336528</xdr:colOff>
      <xdr:row>2</xdr:row>
      <xdr:rowOff>5124969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87" y="6353177"/>
          <a:ext cx="2033041" cy="353429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57151</xdr:rowOff>
    </xdr:from>
    <xdr:to>
      <xdr:col>2</xdr:col>
      <xdr:colOff>2370637</xdr:colOff>
      <xdr:row>5</xdr:row>
      <xdr:rowOff>2143125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6067426"/>
          <a:ext cx="4323262" cy="2085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4;&#1087;&#1077;&#1088;&#1084;&#1077;&#1090;&#1088;%20&#1073;&#1077;&#1089;&#1082;&#1086;&#1085;&#1090;&#1072;&#1082;&#1090;&#1085;&#1099;&#1081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амперметр"/>
      <sheetName val="Лист1"/>
      <sheetName val="Справка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Таблица1" displayName="Таблица1" ref="D4:F21" totalsRowShown="0" headerRowDxfId="34" dataDxfId="33">
  <autoFilter ref="D4:F21"/>
  <tableColumns count="3">
    <tableColumn id="1" name="Столбец1" dataDxfId="32">
      <calculatedColumnFormula>Таблица1[[#This Row],[Столбец2]]&amp;" "&amp;Таблица1[[#This Row],[Столбец3]]</calculatedColumnFormula>
    </tableColumn>
    <tableColumn id="2" name="Столбец2" dataDxfId="31"/>
    <tableColumn id="3" name="Столбец3" dataDxfId="30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D95:E97" totalsRowShown="0" headerRowDxfId="0">
  <autoFilter ref="D95:E97"/>
  <tableColumns count="2">
    <tableColumn id="1" name="Столбец1"/>
    <tableColumn id="2" name="Столбец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Таблица3" displayName="Таблица3" ref="D61:E68" totalsRowShown="0" headerRowDxfId="29" dataDxfId="28">
  <autoFilter ref="D61:E68"/>
  <tableColumns count="2">
    <tableColumn id="1" name="Столбец1" dataDxfId="27">
      <calculatedColumnFormula>OFFSET(F62,0,$A$56-1,,)</calculatedColumnFormula>
    </tableColumn>
    <tableColumn id="2" name="Столбец2" dataDxfId="26">
      <calculatedColumnFormula>OFFSET(H62,0,$A$56-1,,)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4" displayName="Таблица4" ref="D71:E74" totalsRowShown="0" headerRowDxfId="25">
  <autoFilter ref="D71:E74"/>
  <tableColumns count="2">
    <tableColumn id="1" name="Столбец1" dataDxfId="24">
      <calculatedColumnFormula>OFFSET(F72,0,$A$56-1,,)</calculatedColumnFormula>
    </tableColumn>
    <tableColumn id="2" name="Столбец2" dataDxfId="23">
      <calculatedColumnFormula>OFFSET(H72,0,$A$56-1,,)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5" displayName="Таблица5" ref="D88:E92" totalsRowShown="0" headerRowDxfId="22" dataDxfId="21">
  <autoFilter ref="D88:E92"/>
  <tableColumns count="2">
    <tableColumn id="1" name="Столбец1" dataDxfId="20"/>
    <tableColumn id="2" name="Столбец2" dataDxfId="19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6" name="Таблица2" displayName="Таблица2" ref="D77:E79" totalsRowShown="0" headerRowDxfId="18" dataDxfId="17">
  <autoFilter ref="D77:E79"/>
  <tableColumns count="2">
    <tableColumn id="1" name="Столбец1" dataDxfId="16"/>
    <tableColumn id="2" name="Столбец2" dataDxfId="15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7" name="Таблица48" displayName="Таблица48" ref="D31:D36" totalsRowShown="0" headerRowDxfId="14" dataDxfId="13">
  <autoFilter ref="D31:D36"/>
  <tableColumns count="1">
    <tableColumn id="1" name="Столбец1" dataDxfId="12">
      <calculatedColumnFormula>OFFSET(E32,0,$A$4-1,,)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9" name="Таблица9" displayName="Таблица9" ref="D56:E57" totalsRowShown="0" headerRowDxfId="11" dataDxfId="10">
  <autoFilter ref="D56:E57"/>
  <tableColumns count="2">
    <tableColumn id="1" name="Столбец1" dataDxfId="9"/>
    <tableColumn id="2" name="Столбец2" dataDxfId="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D82:E85" totalsRowShown="0" headerRowDxfId="7" dataDxfId="6">
  <autoFilter ref="D82:E85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5" name="Таблица486" displayName="Таблица486" ref="D24:D29" totalsRowShown="0" headerRowDxfId="3" dataDxfId="2">
  <autoFilter ref="D24:D29"/>
  <tableColumns count="1">
    <tableColumn id="1" name="Столбец1" dataDxfId="1">
      <calculatedColumnFormula>OFFSET(E25,0,$A$4-1,,)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48"/>
  <sheetViews>
    <sheetView tabSelected="1" zoomScaleNormal="100" workbookViewId="0">
      <selection activeCell="M6" sqref="M6"/>
    </sheetView>
  </sheetViews>
  <sheetFormatPr defaultRowHeight="12.75" x14ac:dyDescent="0.2"/>
  <cols>
    <col min="1" max="1" width="2.85546875" customWidth="1"/>
    <col min="2" max="2" width="3.28515625" customWidth="1"/>
    <col min="3" max="3" width="12.7109375" customWidth="1"/>
    <col min="4" max="4" width="4.7109375" customWidth="1"/>
    <col min="5" max="5" width="9.28515625" customWidth="1"/>
    <col min="6" max="6" width="6.85546875" customWidth="1"/>
    <col min="7" max="7" width="41.42578125" customWidth="1"/>
    <col min="8" max="8" width="2.5703125" customWidth="1"/>
    <col min="9" max="9" width="23.140625" customWidth="1"/>
    <col min="10" max="10" width="1" customWidth="1"/>
    <col min="11" max="11" width="4.140625" style="1" customWidth="1"/>
    <col min="12" max="12" width="26.5703125" customWidth="1"/>
  </cols>
  <sheetData>
    <row r="1" spans="1:11" s="84" customFormat="1" ht="17.25" customHeight="1" x14ac:dyDescent="0.25">
      <c r="A1" s="107"/>
      <c r="B1" s="107"/>
      <c r="C1" s="107"/>
      <c r="D1" s="107"/>
      <c r="E1" s="107"/>
      <c r="F1" s="107"/>
      <c r="G1" s="107"/>
      <c r="H1" s="107"/>
      <c r="I1" s="82" t="s">
        <v>205</v>
      </c>
      <c r="J1" s="30"/>
      <c r="K1" s="83"/>
    </row>
    <row r="2" spans="1:11" ht="46.5" customHeight="1" x14ac:dyDescent="0.25">
      <c r="A2" s="28"/>
      <c r="B2" s="28"/>
      <c r="C2" s="29" t="s">
        <v>81</v>
      </c>
      <c r="D2" s="29"/>
      <c r="E2" s="29"/>
      <c r="F2" s="29"/>
      <c r="G2" s="30"/>
      <c r="H2" s="28"/>
      <c r="I2" s="31" t="s">
        <v>9</v>
      </c>
      <c r="J2" s="30"/>
    </row>
    <row r="3" spans="1:11" ht="18" customHeight="1" thickBot="1" x14ac:dyDescent="0.3">
      <c r="A3" s="28"/>
      <c r="B3" s="32"/>
      <c r="C3" s="32"/>
      <c r="D3" s="32"/>
      <c r="E3" s="32"/>
      <c r="F3" s="32"/>
      <c r="G3" s="32"/>
      <c r="H3" s="32"/>
      <c r="I3" s="93"/>
      <c r="J3" s="30"/>
    </row>
    <row r="4" spans="1:11" ht="24.95" customHeight="1" x14ac:dyDescent="0.25">
      <c r="A4" s="67"/>
      <c r="B4" s="74" t="s">
        <v>35</v>
      </c>
      <c r="C4" s="67"/>
      <c r="D4" s="67"/>
      <c r="E4" s="67"/>
      <c r="F4" s="67"/>
      <c r="G4" s="28"/>
      <c r="H4" s="91"/>
      <c r="I4" s="101"/>
      <c r="J4" s="92"/>
    </row>
    <row r="5" spans="1:11" ht="15" customHeight="1" x14ac:dyDescent="0.25">
      <c r="A5" s="67"/>
      <c r="B5" s="74"/>
      <c r="C5" s="108" t="str">
        <f ca="1">Лист1!C24</f>
        <v>Тип сенсора: электрохимический</v>
      </c>
      <c r="D5" s="109"/>
      <c r="E5" s="109"/>
      <c r="F5" s="109"/>
      <c r="G5" s="110"/>
      <c r="H5" s="85"/>
      <c r="I5" s="94"/>
      <c r="J5" s="30"/>
    </row>
    <row r="6" spans="1:11" ht="24.95" customHeight="1" x14ac:dyDescent="0.25">
      <c r="A6" s="67"/>
      <c r="B6" s="74" t="s">
        <v>82</v>
      </c>
      <c r="C6" s="67"/>
      <c r="D6" s="67"/>
      <c r="E6" s="67"/>
      <c r="F6" s="67"/>
      <c r="G6" s="28"/>
      <c r="H6" s="85"/>
      <c r="I6" s="90" t="s">
        <v>18</v>
      </c>
      <c r="J6" s="30"/>
    </row>
    <row r="7" spans="1:11" ht="29.25" customHeight="1" x14ac:dyDescent="0.25">
      <c r="A7" s="67"/>
      <c r="B7" s="74"/>
      <c r="C7" s="127" t="str">
        <f ca="1">Лист1!B39</f>
        <v>для диапазона от 0 до 1.0 мг/м3 включительно приведенная погрешность ±20%, для диапазона свыше 1.0 до 30 мг/м3 включительно относительная погрешность ±15%</v>
      </c>
      <c r="D7" s="128"/>
      <c r="E7" s="128"/>
      <c r="F7" s="128"/>
      <c r="G7" s="128"/>
      <c r="H7" s="128"/>
      <c r="I7" s="129"/>
      <c r="J7" s="30"/>
    </row>
    <row r="8" spans="1:11" ht="24.95" customHeight="1" x14ac:dyDescent="0.25">
      <c r="A8" s="67"/>
      <c r="B8" s="74" t="s">
        <v>36</v>
      </c>
      <c r="C8" s="67"/>
      <c r="D8" s="67"/>
      <c r="E8" s="67"/>
      <c r="F8" s="67"/>
      <c r="G8" s="28"/>
      <c r="H8" s="85"/>
      <c r="I8" s="90" t="s">
        <v>18</v>
      </c>
      <c r="J8" s="30"/>
    </row>
    <row r="9" spans="1:11" ht="3.95" customHeight="1" thickBot="1" x14ac:dyDescent="0.3">
      <c r="A9" s="67"/>
      <c r="B9" s="74"/>
      <c r="C9" s="67"/>
      <c r="D9" s="67"/>
      <c r="E9" s="67"/>
      <c r="F9" s="67"/>
      <c r="G9" s="28"/>
      <c r="H9" s="85"/>
      <c r="I9" s="90"/>
      <c r="J9" s="30"/>
    </row>
    <row r="10" spans="1:11" ht="24.95" customHeight="1" x14ac:dyDescent="0.25">
      <c r="A10" s="67"/>
      <c r="B10" s="74" t="str">
        <f>IF(Лист1!A56=1,"Длина кабеля, м","")</f>
        <v>Длина кабеля, м</v>
      </c>
      <c r="C10" s="67"/>
      <c r="D10" s="67"/>
      <c r="E10" s="67"/>
      <c r="F10" s="67"/>
      <c r="G10" s="32"/>
      <c r="H10" s="87"/>
      <c r="I10" s="101"/>
      <c r="J10" s="30"/>
    </row>
    <row r="11" spans="1:11" ht="3.95" customHeight="1" thickBot="1" x14ac:dyDescent="0.3">
      <c r="A11" s="67"/>
      <c r="B11" s="74"/>
      <c r="C11" s="67"/>
      <c r="D11" s="67"/>
      <c r="E11" s="67"/>
      <c r="F11" s="67"/>
      <c r="G11" s="32"/>
      <c r="H11" s="87"/>
      <c r="I11" s="62"/>
      <c r="J11" s="30"/>
    </row>
    <row r="12" spans="1:11" ht="24.95" customHeight="1" x14ac:dyDescent="0.25">
      <c r="A12" s="67"/>
      <c r="B12" s="74" t="str">
        <f>IF(Лист1!A56=1,"Защита кабеля","")</f>
        <v>Защита кабеля</v>
      </c>
      <c r="C12" s="67"/>
      <c r="D12" s="67"/>
      <c r="E12" s="67"/>
      <c r="F12" s="67"/>
      <c r="G12" s="32"/>
      <c r="H12" s="87"/>
      <c r="I12" s="101"/>
      <c r="J12" s="30"/>
    </row>
    <row r="13" spans="1:11" ht="3.95" customHeight="1" x14ac:dyDescent="0.25">
      <c r="A13" s="67"/>
      <c r="B13" s="74"/>
      <c r="C13" s="67"/>
      <c r="D13" s="67"/>
      <c r="E13" s="67"/>
      <c r="F13" s="67"/>
      <c r="G13" s="32"/>
      <c r="H13" s="87"/>
      <c r="I13" s="62"/>
      <c r="J13" s="30"/>
    </row>
    <row r="14" spans="1:11" ht="24.95" customHeight="1" x14ac:dyDescent="0.25">
      <c r="A14" s="67"/>
      <c r="B14" s="74" t="s">
        <v>30</v>
      </c>
      <c r="C14" s="67"/>
      <c r="D14" s="67"/>
      <c r="E14" s="67"/>
      <c r="F14" s="67"/>
      <c r="G14" s="32"/>
      <c r="H14" s="85"/>
      <c r="I14" s="90"/>
      <c r="J14" s="30"/>
    </row>
    <row r="15" spans="1:11" ht="3.95" customHeight="1" x14ac:dyDescent="0.25">
      <c r="A15" s="67"/>
      <c r="B15" s="74"/>
      <c r="C15" s="67"/>
      <c r="D15" s="67"/>
      <c r="E15" s="67"/>
      <c r="F15" s="67"/>
      <c r="G15" s="32"/>
      <c r="H15" s="85"/>
      <c r="I15" s="90"/>
      <c r="J15" s="30"/>
    </row>
    <row r="16" spans="1:11" ht="24.95" customHeight="1" x14ac:dyDescent="0.25">
      <c r="A16" s="67"/>
      <c r="B16" s="74" t="s">
        <v>88</v>
      </c>
      <c r="C16" s="67"/>
      <c r="D16" s="67"/>
      <c r="E16" s="67"/>
      <c r="F16" s="67"/>
      <c r="G16" s="32"/>
      <c r="H16" s="85"/>
      <c r="I16" s="90"/>
      <c r="J16" s="30"/>
    </row>
    <row r="17" spans="1:10" ht="3.95" customHeight="1" thickBot="1" x14ac:dyDescent="0.3">
      <c r="A17" s="67"/>
      <c r="B17" s="74"/>
      <c r="C17" s="67"/>
      <c r="D17" s="67"/>
      <c r="E17" s="67"/>
      <c r="F17" s="67"/>
      <c r="G17" s="32"/>
      <c r="H17" s="85"/>
      <c r="I17" s="90"/>
      <c r="J17" s="30"/>
    </row>
    <row r="18" spans="1:10" ht="24.95" customHeight="1" x14ac:dyDescent="0.3">
      <c r="A18" s="75" t="s">
        <v>94</v>
      </c>
      <c r="B18" s="68" t="s">
        <v>90</v>
      </c>
      <c r="C18" s="68"/>
      <c r="D18" s="68"/>
      <c r="E18" s="68"/>
      <c r="F18" s="68"/>
      <c r="G18" s="32"/>
      <c r="H18" s="87"/>
      <c r="I18" s="101"/>
      <c r="J18" s="30"/>
    </row>
    <row r="19" spans="1:10" ht="3.95" customHeight="1" x14ac:dyDescent="0.2">
      <c r="A19" s="67"/>
      <c r="B19" s="67"/>
      <c r="C19" s="67"/>
      <c r="D19" s="67"/>
      <c r="E19" s="67"/>
      <c r="F19" s="76"/>
      <c r="G19" s="96"/>
      <c r="H19" s="89"/>
      <c r="I19" s="97"/>
      <c r="J19" s="30"/>
    </row>
    <row r="20" spans="1:10" ht="24.95" customHeight="1" x14ac:dyDescent="0.3">
      <c r="A20" s="75" t="s">
        <v>94</v>
      </c>
      <c r="B20" s="68" t="s">
        <v>199</v>
      </c>
      <c r="C20" s="68"/>
      <c r="D20" s="68"/>
      <c r="E20" s="68"/>
      <c r="F20" s="68"/>
      <c r="G20" s="32"/>
      <c r="H20" s="85"/>
      <c r="I20" s="90"/>
      <c r="J20" s="30"/>
    </row>
    <row r="21" spans="1:10" ht="3.95" customHeight="1" thickBot="1" x14ac:dyDescent="0.25">
      <c r="A21" s="67"/>
      <c r="B21" s="67"/>
      <c r="C21" s="67"/>
      <c r="D21" s="67"/>
      <c r="E21" s="103"/>
      <c r="F21" s="104"/>
      <c r="G21" s="27"/>
      <c r="H21" s="105"/>
      <c r="I21" s="106"/>
      <c r="J21" s="92"/>
    </row>
    <row r="22" spans="1:10" ht="63.75" customHeight="1" x14ac:dyDescent="0.25">
      <c r="A22" s="67"/>
      <c r="B22" s="73" t="s">
        <v>8</v>
      </c>
      <c r="C22" s="63"/>
      <c r="D22" s="63"/>
      <c r="E22" s="95"/>
      <c r="F22" s="122"/>
      <c r="G22" s="123"/>
      <c r="H22" s="123"/>
      <c r="I22" s="124"/>
      <c r="J22" s="92"/>
    </row>
    <row r="23" spans="1:10" ht="3.95" customHeight="1" thickBot="1" x14ac:dyDescent="0.3">
      <c r="A23" s="67"/>
      <c r="B23" s="68"/>
      <c r="C23" s="63"/>
      <c r="D23" s="63"/>
      <c r="E23" s="63"/>
      <c r="F23" s="98"/>
      <c r="G23" s="99"/>
      <c r="H23" s="99"/>
      <c r="I23" s="99"/>
      <c r="J23" s="30"/>
    </row>
    <row r="24" spans="1:10" ht="24.95" customHeight="1" x14ac:dyDescent="0.25">
      <c r="A24" s="67"/>
      <c r="B24" s="68" t="s">
        <v>7</v>
      </c>
      <c r="C24" s="63"/>
      <c r="D24" s="125"/>
      <c r="E24" s="126"/>
      <c r="F24" s="126"/>
      <c r="G24" s="62" t="s">
        <v>18</v>
      </c>
      <c r="H24" s="87"/>
      <c r="I24" s="87"/>
      <c r="J24" s="30"/>
    </row>
    <row r="25" spans="1:10" ht="3.95" customHeight="1" x14ac:dyDescent="0.2">
      <c r="A25" s="67"/>
      <c r="B25" s="67"/>
      <c r="C25" s="65"/>
      <c r="D25" s="65"/>
      <c r="E25" s="65"/>
      <c r="F25" s="65"/>
      <c r="G25" s="86"/>
      <c r="H25" s="85"/>
      <c r="I25" s="85"/>
      <c r="J25" s="30"/>
    </row>
    <row r="26" spans="1:10" ht="24.95" customHeight="1" thickBot="1" x14ac:dyDescent="0.3">
      <c r="A26" s="67"/>
      <c r="B26" s="68" t="s">
        <v>0</v>
      </c>
      <c r="C26" s="68"/>
      <c r="D26" s="68"/>
      <c r="E26" s="68"/>
      <c r="F26" s="68"/>
      <c r="G26" s="86"/>
      <c r="H26" s="85"/>
      <c r="I26" s="85"/>
      <c r="J26" s="30"/>
    </row>
    <row r="27" spans="1:10" ht="24.95" customHeight="1" x14ac:dyDescent="0.25">
      <c r="A27" s="67"/>
      <c r="B27" s="68"/>
      <c r="C27" s="68" t="s">
        <v>1</v>
      </c>
      <c r="D27" s="68"/>
      <c r="E27" s="68"/>
      <c r="F27" s="125"/>
      <c r="G27" s="126"/>
      <c r="H27" s="126"/>
      <c r="I27" s="126"/>
      <c r="J27" s="30"/>
    </row>
    <row r="28" spans="1:10" ht="3.95" customHeight="1" thickBot="1" x14ac:dyDescent="0.3">
      <c r="A28" s="67"/>
      <c r="B28" s="68"/>
      <c r="C28" s="68"/>
      <c r="D28" s="68"/>
      <c r="E28" s="68"/>
      <c r="F28" s="68"/>
      <c r="G28" s="64"/>
      <c r="H28" s="88"/>
      <c r="I28" s="85"/>
      <c r="J28" s="30"/>
    </row>
    <row r="29" spans="1:10" ht="24.95" customHeight="1" x14ac:dyDescent="0.25">
      <c r="A29" s="67"/>
      <c r="B29" s="68"/>
      <c r="C29" s="68" t="s">
        <v>2</v>
      </c>
      <c r="D29" s="125"/>
      <c r="E29" s="126"/>
      <c r="F29" s="126"/>
      <c r="G29" s="126"/>
      <c r="H29" s="126"/>
      <c r="I29" s="126"/>
      <c r="J29" s="30"/>
    </row>
    <row r="30" spans="1:10" ht="3.95" customHeight="1" thickBot="1" x14ac:dyDescent="0.3">
      <c r="A30" s="67"/>
      <c r="B30" s="68"/>
      <c r="C30" s="68"/>
      <c r="D30" s="68"/>
      <c r="E30" s="68"/>
      <c r="F30" s="68"/>
      <c r="G30" s="64"/>
      <c r="H30" s="88"/>
      <c r="I30" s="85"/>
      <c r="J30" s="30"/>
    </row>
    <row r="31" spans="1:10" ht="24.95" customHeight="1" x14ac:dyDescent="0.25">
      <c r="A31" s="67"/>
      <c r="B31" s="68"/>
      <c r="C31" s="68" t="s">
        <v>3</v>
      </c>
      <c r="D31" s="68"/>
      <c r="E31" s="125"/>
      <c r="F31" s="126"/>
      <c r="G31" s="126"/>
      <c r="H31" s="126"/>
      <c r="I31" s="126"/>
      <c r="J31" s="30"/>
    </row>
    <row r="32" spans="1:10" ht="3.95" customHeight="1" thickBot="1" x14ac:dyDescent="0.3">
      <c r="A32" s="67"/>
      <c r="B32" s="68"/>
      <c r="C32" s="68"/>
      <c r="D32" s="68"/>
      <c r="E32" s="68"/>
      <c r="F32" s="68"/>
      <c r="G32" s="64"/>
      <c r="H32" s="88"/>
      <c r="I32" s="85"/>
      <c r="J32" s="30"/>
    </row>
    <row r="33" spans="1:10" ht="24.95" customHeight="1" x14ac:dyDescent="0.25">
      <c r="A33" s="67"/>
      <c r="B33" s="68"/>
      <c r="C33" s="68" t="s">
        <v>4</v>
      </c>
      <c r="D33" s="68"/>
      <c r="E33" s="125"/>
      <c r="F33" s="126"/>
      <c r="G33" s="126"/>
      <c r="H33" s="126"/>
      <c r="I33" s="126"/>
      <c r="J33" s="30"/>
    </row>
    <row r="34" spans="1:10" ht="9.9499999999999993" customHeight="1" x14ac:dyDescent="0.2">
      <c r="A34" s="76"/>
      <c r="B34" s="76"/>
      <c r="C34" s="76"/>
      <c r="D34" s="76"/>
      <c r="E34" s="76"/>
      <c r="F34" s="76"/>
      <c r="G34" s="76"/>
      <c r="H34" s="89"/>
      <c r="I34" s="85"/>
      <c r="J34" s="30"/>
    </row>
    <row r="35" spans="1:10" ht="15.75" x14ac:dyDescent="0.25">
      <c r="A35" s="69"/>
      <c r="B35" s="70" t="s">
        <v>10</v>
      </c>
      <c r="C35" s="70"/>
      <c r="D35" s="70"/>
      <c r="E35" s="70"/>
      <c r="F35" s="70"/>
      <c r="G35" s="34"/>
      <c r="H35" s="34"/>
      <c r="I35" s="33"/>
      <c r="J35" s="30"/>
    </row>
    <row r="36" spans="1:10" ht="15.75" x14ac:dyDescent="0.25">
      <c r="A36" s="69"/>
      <c r="B36" s="70"/>
      <c r="C36" s="115" t="str">
        <f ca="1">Лист1!A100</f>
        <v>Газоанализатор "Автон" (NO2, 0..30 мг/м3, 15%, 1м, LoRa)</v>
      </c>
      <c r="D36" s="115"/>
      <c r="E36" s="115"/>
      <c r="F36" s="115"/>
      <c r="G36" s="115"/>
      <c r="H36" s="34"/>
      <c r="I36" s="33"/>
      <c r="J36" s="30"/>
    </row>
    <row r="37" spans="1:10" ht="17.25" customHeight="1" x14ac:dyDescent="0.25">
      <c r="A37" s="69"/>
      <c r="B37" s="70" t="s">
        <v>34</v>
      </c>
      <c r="C37" s="71"/>
      <c r="D37" s="71"/>
      <c r="E37" s="71"/>
      <c r="F37" s="71"/>
      <c r="G37" s="36"/>
      <c r="H37" s="34"/>
      <c r="I37" s="33"/>
      <c r="J37" s="30"/>
    </row>
    <row r="38" spans="1:10" ht="17.25" customHeight="1" x14ac:dyDescent="0.25">
      <c r="A38" s="69"/>
      <c r="B38" s="77"/>
      <c r="C38" s="116" t="str">
        <f>Лист1!C88</f>
        <v/>
      </c>
      <c r="D38" s="117"/>
      <c r="E38" s="117"/>
      <c r="F38" s="117"/>
      <c r="G38" s="118"/>
      <c r="H38" s="35"/>
      <c r="I38" s="33"/>
      <c r="J38" s="30"/>
    </row>
    <row r="39" spans="1:10" ht="15.75" x14ac:dyDescent="0.25">
      <c r="A39" s="69"/>
      <c r="B39" s="77"/>
      <c r="C39" s="116" t="str">
        <f>Лист1!C95</f>
        <v/>
      </c>
      <c r="D39" s="117"/>
      <c r="E39" s="117"/>
      <c r="F39" s="117"/>
      <c r="G39" s="118"/>
      <c r="H39" s="35"/>
      <c r="I39" s="33"/>
      <c r="J39" s="30"/>
    </row>
    <row r="40" spans="1:10" ht="15.75" x14ac:dyDescent="0.25">
      <c r="A40" s="69"/>
      <c r="B40" s="70" t="s">
        <v>8</v>
      </c>
      <c r="C40" s="72"/>
      <c r="D40" s="72"/>
      <c r="E40" s="72"/>
      <c r="F40" s="72"/>
      <c r="G40" s="37"/>
      <c r="H40" s="34"/>
      <c r="I40" s="33"/>
      <c r="J40" s="30"/>
    </row>
    <row r="41" spans="1:10" ht="15.75" x14ac:dyDescent="0.25">
      <c r="A41" s="69"/>
      <c r="B41" s="77"/>
      <c r="C41" s="119" t="str">
        <f ca="1">Лист1!C32</f>
        <v/>
      </c>
      <c r="D41" s="120"/>
      <c r="E41" s="120"/>
      <c r="F41" s="120"/>
      <c r="G41" s="121"/>
      <c r="H41" s="35"/>
      <c r="I41" s="33"/>
      <c r="J41" s="30"/>
    </row>
    <row r="42" spans="1:10" ht="89.25" customHeight="1" x14ac:dyDescent="0.2">
      <c r="A42" s="69"/>
      <c r="B42" s="78"/>
      <c r="C42" s="112" t="str">
        <f>IF(F22="","",F22)</f>
        <v/>
      </c>
      <c r="D42" s="113"/>
      <c r="E42" s="113"/>
      <c r="F42" s="113"/>
      <c r="G42" s="114"/>
      <c r="H42" s="35"/>
      <c r="I42" s="33"/>
      <c r="J42" s="30"/>
    </row>
    <row r="43" spans="1:10" ht="9" customHeight="1" x14ac:dyDescent="0.2">
      <c r="A43" s="36"/>
      <c r="B43" s="36"/>
      <c r="C43" s="37"/>
      <c r="D43" s="37"/>
      <c r="E43" s="37"/>
      <c r="F43" s="37"/>
      <c r="G43" s="37"/>
      <c r="H43" s="36"/>
      <c r="I43" s="38"/>
      <c r="J43" s="30"/>
    </row>
    <row r="44" spans="1:10" x14ac:dyDescent="0.2">
      <c r="A44" s="28"/>
      <c r="B44" s="28"/>
      <c r="C44" s="28"/>
      <c r="D44" s="28"/>
      <c r="E44" s="28"/>
      <c r="F44" s="28"/>
      <c r="G44" s="28"/>
      <c r="H44" s="28"/>
      <c r="I44" s="28"/>
      <c r="J44" s="30"/>
    </row>
    <row r="45" spans="1:10" x14ac:dyDescent="0.2">
      <c r="A45" s="111"/>
      <c r="B45" s="111"/>
      <c r="C45" s="111"/>
      <c r="D45" s="111"/>
      <c r="E45" s="111"/>
      <c r="F45" s="111"/>
      <c r="G45" s="111"/>
      <c r="H45" s="111"/>
      <c r="I45" s="66"/>
      <c r="J45" s="66"/>
    </row>
    <row r="46" spans="1:1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</sheetData>
  <sheetProtection password="C7C8" sheet="1" objects="1" scenarios="1"/>
  <mergeCells count="15">
    <mergeCell ref="A1:H1"/>
    <mergeCell ref="C5:G5"/>
    <mergeCell ref="A45:H45"/>
    <mergeCell ref="C42:G42"/>
    <mergeCell ref="C36:G36"/>
    <mergeCell ref="C39:G39"/>
    <mergeCell ref="C38:G38"/>
    <mergeCell ref="C41:G41"/>
    <mergeCell ref="F22:I22"/>
    <mergeCell ref="D24:F24"/>
    <mergeCell ref="F27:I27"/>
    <mergeCell ref="D29:I29"/>
    <mergeCell ref="E31:I31"/>
    <mergeCell ref="E33:I33"/>
    <mergeCell ref="C7:I7"/>
  </mergeCells>
  <hyperlinks>
    <hyperlink ref="A18" location="Справка!A1" display="?"/>
    <hyperlink ref="A20" location="Пульт_калибровки_ПК_01_производства_ООО__НИИИТ" display="?"/>
  </hyperlinks>
  <pageMargins left="0.6692913385826772" right="0.15748031496062992" top="0.35433070866141736" bottom="0.27559055118110237" header="0.19685039370078741" footer="0.23622047244094491"/>
  <pageSetup paperSize="9" scale="90" orientation="portrait" r:id="rId1"/>
  <rowBreaks count="1" manualBreakCount="1">
    <brk id="23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6</xdr:col>
                    <xdr:colOff>28575</xdr:colOff>
                    <xdr:row>9</xdr:row>
                    <xdr:rowOff>28575</xdr:rowOff>
                  </from>
                  <to>
                    <xdr:col>6</xdr:col>
                    <xdr:colOff>2733675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Drop Down 12">
              <controlPr defaultSize="0" autoLine="0" autoPict="0">
                <anchor moveWithCells="1">
                  <from>
                    <xdr:col>6</xdr:col>
                    <xdr:colOff>28575</xdr:colOff>
                    <xdr:row>11</xdr:row>
                    <xdr:rowOff>19050</xdr:rowOff>
                  </from>
                  <to>
                    <xdr:col>6</xdr:col>
                    <xdr:colOff>2733675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Drop Down 13">
              <controlPr defaultSize="0" autoLine="0" autoPict="0">
                <anchor moveWithCells="1">
                  <from>
                    <xdr:col>6</xdr:col>
                    <xdr:colOff>28575</xdr:colOff>
                    <xdr:row>17</xdr:row>
                    <xdr:rowOff>28575</xdr:rowOff>
                  </from>
                  <to>
                    <xdr:col>6</xdr:col>
                    <xdr:colOff>2733675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" name="Drop Down 104">
              <controlPr defaultSize="0" autoLine="0" autoPict="0">
                <anchor moveWithCells="1">
                  <from>
                    <xdr:col>6</xdr:col>
                    <xdr:colOff>28575</xdr:colOff>
                    <xdr:row>13</xdr:row>
                    <xdr:rowOff>28575</xdr:rowOff>
                  </from>
                  <to>
                    <xdr:col>6</xdr:col>
                    <xdr:colOff>2733675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8" name="Drop Down 105">
              <controlPr defaultSize="0" autoLine="0" autoPict="0">
                <anchor moveWithCells="1">
                  <from>
                    <xdr:col>6</xdr:col>
                    <xdr:colOff>28575</xdr:colOff>
                    <xdr:row>3</xdr:row>
                    <xdr:rowOff>28575</xdr:rowOff>
                  </from>
                  <to>
                    <xdr:col>6</xdr:col>
                    <xdr:colOff>2733675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" name="Drop Down 107">
              <controlPr defaultSize="0" autoLine="0" autoPict="0">
                <anchor moveWithCells="1">
                  <from>
                    <xdr:col>6</xdr:col>
                    <xdr:colOff>28575</xdr:colOff>
                    <xdr:row>5</xdr:row>
                    <xdr:rowOff>28575</xdr:rowOff>
                  </from>
                  <to>
                    <xdr:col>6</xdr:col>
                    <xdr:colOff>2733675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" name="Drop Down 111">
              <controlPr defaultSize="0" autoLine="0" autoPict="0">
                <anchor moveWithCells="1">
                  <from>
                    <xdr:col>6</xdr:col>
                    <xdr:colOff>28575</xdr:colOff>
                    <xdr:row>7</xdr:row>
                    <xdr:rowOff>28575</xdr:rowOff>
                  </from>
                  <to>
                    <xdr:col>6</xdr:col>
                    <xdr:colOff>2733675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" name="Drop Down 112">
              <controlPr defaultSize="0" autoLine="0" autoPict="0">
                <anchor moveWithCells="1">
                  <from>
                    <xdr:col>6</xdr:col>
                    <xdr:colOff>28575</xdr:colOff>
                    <xdr:row>15</xdr:row>
                    <xdr:rowOff>28575</xdr:rowOff>
                  </from>
                  <to>
                    <xdr:col>6</xdr:col>
                    <xdr:colOff>2733675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2" name="Drop Down 115">
              <controlPr defaultSize="0" autoLine="0" autoPict="0">
                <anchor moveWithCells="1">
                  <from>
                    <xdr:col>6</xdr:col>
                    <xdr:colOff>28575</xdr:colOff>
                    <xdr:row>19</xdr:row>
                    <xdr:rowOff>28575</xdr:rowOff>
                  </from>
                  <to>
                    <xdr:col>6</xdr:col>
                    <xdr:colOff>2733675</xdr:colOff>
                    <xdr:row>19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U127"/>
  <sheetViews>
    <sheetView topLeftCell="A86" zoomScaleNormal="100" workbookViewId="0">
      <selection activeCell="B111" sqref="B111"/>
    </sheetView>
  </sheetViews>
  <sheetFormatPr defaultRowHeight="16.5" customHeight="1" x14ac:dyDescent="0.2"/>
  <cols>
    <col min="1" max="1" width="33" style="2" customWidth="1"/>
    <col min="2" max="2" width="32" style="3" customWidth="1"/>
    <col min="3" max="3" width="21.42578125" style="2" customWidth="1"/>
    <col min="4" max="4" width="27.7109375" style="2" customWidth="1"/>
    <col min="5" max="5" width="21.7109375" style="2" customWidth="1"/>
    <col min="6" max="6" width="20.7109375" style="2" customWidth="1"/>
    <col min="7" max="7" width="19" style="2" customWidth="1"/>
    <col min="8" max="8" width="27" style="2" customWidth="1"/>
    <col min="9" max="9" width="19" style="2" customWidth="1"/>
    <col min="10" max="10" width="22.5703125" style="2" customWidth="1"/>
    <col min="11" max="11" width="18.140625" style="2" customWidth="1"/>
    <col min="12" max="12" width="22.5703125" style="2" customWidth="1"/>
    <col min="13" max="13" width="17.85546875" style="2" customWidth="1"/>
    <col min="14" max="14" width="18.7109375" style="2" customWidth="1"/>
    <col min="15" max="15" width="18.42578125" style="2" customWidth="1"/>
    <col min="16" max="16" width="19.140625" style="2" customWidth="1"/>
    <col min="17" max="17" width="21.140625" style="2" customWidth="1"/>
    <col min="18" max="18" width="19.7109375" style="2" customWidth="1"/>
    <col min="19" max="19" width="19" style="2" customWidth="1"/>
    <col min="20" max="20" width="22.28515625" style="2" customWidth="1"/>
    <col min="21" max="21" width="18.5703125" style="2" customWidth="1"/>
    <col min="22" max="16384" width="9.140625" style="2"/>
  </cols>
  <sheetData>
    <row r="1" spans="1:6" ht="16.5" customHeight="1" x14ac:dyDescent="0.2">
      <c r="A1" s="131" t="s">
        <v>16</v>
      </c>
      <c r="B1" s="131"/>
      <c r="C1" s="9" t="s">
        <v>17</v>
      </c>
      <c r="D1" s="9" t="s">
        <v>19</v>
      </c>
    </row>
    <row r="2" spans="1:6" ht="16.5" customHeight="1" x14ac:dyDescent="0.2">
      <c r="A2" s="9"/>
      <c r="B2" s="10"/>
      <c r="C2" s="9"/>
    </row>
    <row r="3" spans="1:6" ht="16.5" customHeight="1" x14ac:dyDescent="0.2">
      <c r="A3" s="39" t="s">
        <v>35</v>
      </c>
      <c r="B3" s="10"/>
      <c r="C3" s="9"/>
    </row>
    <row r="4" spans="1:6" ht="16.5" customHeight="1" x14ac:dyDescent="0.2">
      <c r="A4" s="57">
        <v>1</v>
      </c>
      <c r="B4" s="59" t="str">
        <f>INDEX(D5:D21,A4,1)</f>
        <v>Азота диоксид NO2</v>
      </c>
      <c r="C4" s="8" t="str">
        <f>VLOOKUP(B4,Таблица1[#All],3,)</f>
        <v>NO2</v>
      </c>
      <c r="D4" s="2" t="s">
        <v>20</v>
      </c>
      <c r="E4" s="2" t="s">
        <v>21</v>
      </c>
      <c r="F4" s="2" t="s">
        <v>50</v>
      </c>
    </row>
    <row r="5" spans="1:6" ht="16.5" customHeight="1" x14ac:dyDescent="0.2">
      <c r="D5" s="2" t="s">
        <v>64</v>
      </c>
      <c r="E5" s="2" t="s">
        <v>37</v>
      </c>
      <c r="F5" s="2" t="s">
        <v>51</v>
      </c>
    </row>
    <row r="6" spans="1:6" ht="16.5" customHeight="1" x14ac:dyDescent="0.2">
      <c r="D6" s="2" t="s">
        <v>65</v>
      </c>
      <c r="E6" s="2" t="s">
        <v>38</v>
      </c>
      <c r="F6" s="2" t="s">
        <v>52</v>
      </c>
    </row>
    <row r="7" spans="1:6" ht="16.5" customHeight="1" x14ac:dyDescent="0.2">
      <c r="D7" s="2" t="s">
        <v>66</v>
      </c>
      <c r="E7" s="2" t="s">
        <v>39</v>
      </c>
      <c r="F7" s="2" t="s">
        <v>53</v>
      </c>
    </row>
    <row r="8" spans="1:6" ht="16.5" customHeight="1" x14ac:dyDescent="0.2">
      <c r="D8" s="2" t="s">
        <v>95</v>
      </c>
      <c r="E8" s="2" t="s">
        <v>98</v>
      </c>
      <c r="F8" s="2" t="s">
        <v>101</v>
      </c>
    </row>
    <row r="9" spans="1:6" ht="16.5" customHeight="1" x14ac:dyDescent="0.2">
      <c r="D9" s="2" t="s">
        <v>67</v>
      </c>
      <c r="E9" s="2" t="s">
        <v>40</v>
      </c>
      <c r="F9" s="2" t="s">
        <v>54</v>
      </c>
    </row>
    <row r="10" spans="1:6" ht="16.5" customHeight="1" x14ac:dyDescent="0.2">
      <c r="D10" s="2" t="s">
        <v>68</v>
      </c>
      <c r="E10" s="2" t="s">
        <v>41</v>
      </c>
      <c r="F10" s="2" t="s">
        <v>55</v>
      </c>
    </row>
    <row r="11" spans="1:6" ht="16.5" customHeight="1" x14ac:dyDescent="0.2">
      <c r="D11" s="2" t="s">
        <v>69</v>
      </c>
      <c r="E11" s="2" t="s">
        <v>42</v>
      </c>
      <c r="F11" s="2" t="s">
        <v>56</v>
      </c>
    </row>
    <row r="12" spans="1:6" ht="16.5" customHeight="1" x14ac:dyDescent="0.2">
      <c r="D12" s="2" t="s">
        <v>70</v>
      </c>
      <c r="E12" s="2" t="s">
        <v>43</v>
      </c>
      <c r="F12" s="2" t="s">
        <v>57</v>
      </c>
    </row>
    <row r="13" spans="1:6" ht="16.5" customHeight="1" x14ac:dyDescent="0.2">
      <c r="D13" s="2" t="s">
        <v>71</v>
      </c>
      <c r="E13" s="2" t="s">
        <v>44</v>
      </c>
      <c r="F13" s="2" t="s">
        <v>58</v>
      </c>
    </row>
    <row r="14" spans="1:6" ht="16.5" customHeight="1" x14ac:dyDescent="0.2">
      <c r="D14" s="2" t="s">
        <v>72</v>
      </c>
      <c r="E14" s="2" t="s">
        <v>45</v>
      </c>
      <c r="F14" s="2" t="s">
        <v>59</v>
      </c>
    </row>
    <row r="15" spans="1:6" ht="16.5" customHeight="1" x14ac:dyDescent="0.2">
      <c r="D15" s="2" t="s">
        <v>73</v>
      </c>
      <c r="E15" s="2" t="s">
        <v>46</v>
      </c>
      <c r="F15" s="2" t="s">
        <v>60</v>
      </c>
    </row>
    <row r="16" spans="1:6" ht="16.5" customHeight="1" x14ac:dyDescent="0.2">
      <c r="D16" s="2" t="s">
        <v>74</v>
      </c>
      <c r="E16" s="2" t="s">
        <v>47</v>
      </c>
      <c r="F16" s="2" t="s">
        <v>61</v>
      </c>
    </row>
    <row r="17" spans="1:21" ht="16.5" customHeight="1" x14ac:dyDescent="0.2">
      <c r="D17" s="2" t="s">
        <v>96</v>
      </c>
      <c r="E17" s="2" t="s">
        <v>99</v>
      </c>
      <c r="F17" s="2" t="s">
        <v>102</v>
      </c>
    </row>
    <row r="18" spans="1:21" ht="16.5" customHeight="1" x14ac:dyDescent="0.2">
      <c r="D18" s="2" t="s">
        <v>75</v>
      </c>
      <c r="E18" s="2" t="s">
        <v>48</v>
      </c>
      <c r="F18" s="2" t="s">
        <v>62</v>
      </c>
    </row>
    <row r="19" spans="1:21" ht="16.5" customHeight="1" x14ac:dyDescent="0.2">
      <c r="D19" s="2" t="s">
        <v>97</v>
      </c>
      <c r="E19" s="2" t="s">
        <v>100</v>
      </c>
      <c r="F19" s="2" t="s">
        <v>103</v>
      </c>
    </row>
    <row r="20" spans="1:21" ht="16.5" customHeight="1" x14ac:dyDescent="0.2">
      <c r="D20" s="2" t="s">
        <v>76</v>
      </c>
      <c r="E20" s="2" t="s">
        <v>49</v>
      </c>
      <c r="F20" s="2" t="s">
        <v>63</v>
      </c>
    </row>
    <row r="21" spans="1:21" ht="16.5" customHeight="1" x14ac:dyDescent="0.2">
      <c r="D21" s="2" t="s">
        <v>80</v>
      </c>
      <c r="E21" s="21" t="s">
        <v>80</v>
      </c>
      <c r="F21" s="7">
        <f>'Опросный лист газоанализатор'!I4</f>
        <v>0</v>
      </c>
    </row>
    <row r="23" spans="1:21" ht="16.5" customHeight="1" x14ac:dyDescent="0.2">
      <c r="A23" s="39" t="s">
        <v>187</v>
      </c>
    </row>
    <row r="24" spans="1:21" ht="16.5" customHeight="1" x14ac:dyDescent="0.2">
      <c r="A24" s="57">
        <v>1</v>
      </c>
      <c r="B24" s="58" t="str">
        <f ca="1">INDEX(Таблица486[Столбец1],A24,1)</f>
        <v>электрохимический</v>
      </c>
      <c r="C24" s="8" t="str">
        <f ca="1">IF(B4="другой","","Тип сенсора: "&amp;B24)</f>
        <v>Тип сенсора: электрохимический</v>
      </c>
      <c r="D24" s="17" t="s">
        <v>20</v>
      </c>
      <c r="E24" s="16" t="s">
        <v>64</v>
      </c>
      <c r="F24" s="16" t="s">
        <v>65</v>
      </c>
      <c r="G24" s="16" t="s">
        <v>66</v>
      </c>
      <c r="H24" s="46" t="s">
        <v>95</v>
      </c>
      <c r="I24" s="16" t="s">
        <v>67</v>
      </c>
      <c r="J24" s="16" t="s">
        <v>68</v>
      </c>
      <c r="K24" s="16" t="s">
        <v>69</v>
      </c>
      <c r="L24" s="46" t="s">
        <v>70</v>
      </c>
      <c r="M24" s="16" t="s">
        <v>71</v>
      </c>
      <c r="N24" s="16" t="s">
        <v>72</v>
      </c>
      <c r="O24" s="16" t="s">
        <v>73</v>
      </c>
      <c r="P24" s="16" t="s">
        <v>74</v>
      </c>
      <c r="Q24" s="46" t="s">
        <v>96</v>
      </c>
      <c r="R24" s="16" t="s">
        <v>75</v>
      </c>
      <c r="S24" s="46" t="s">
        <v>97</v>
      </c>
      <c r="T24" s="16" t="s">
        <v>76</v>
      </c>
      <c r="U24" s="13" t="s">
        <v>80</v>
      </c>
    </row>
    <row r="25" spans="1:21" ht="16.5" customHeight="1" x14ac:dyDescent="0.2">
      <c r="D25" s="22" t="str">
        <f ca="1">OFFSET(E25,0,$A$4-1,,)</f>
        <v>электрохимический</v>
      </c>
      <c r="E25" s="23" t="s">
        <v>188</v>
      </c>
      <c r="F25" s="23" t="s">
        <v>188</v>
      </c>
      <c r="G25" s="23" t="s">
        <v>188</v>
      </c>
      <c r="H25" s="47" t="s">
        <v>189</v>
      </c>
      <c r="I25" s="23" t="s">
        <v>188</v>
      </c>
      <c r="J25" s="23" t="s">
        <v>188</v>
      </c>
      <c r="K25" s="23" t="s">
        <v>188</v>
      </c>
      <c r="L25" s="47" t="s">
        <v>189</v>
      </c>
      <c r="M25" s="23" t="s">
        <v>188</v>
      </c>
      <c r="N25" s="23" t="s">
        <v>189</v>
      </c>
      <c r="O25" s="23" t="s">
        <v>188</v>
      </c>
      <c r="P25" s="23" t="s">
        <v>188</v>
      </c>
      <c r="Q25" s="23" t="s">
        <v>188</v>
      </c>
      <c r="R25" s="23" t="s">
        <v>188</v>
      </c>
      <c r="S25" s="23" t="s">
        <v>188</v>
      </c>
      <c r="T25" s="23" t="s">
        <v>189</v>
      </c>
      <c r="U25" s="14" t="s">
        <v>18</v>
      </c>
    </row>
    <row r="26" spans="1:21" ht="16.5" customHeight="1" x14ac:dyDescent="0.2">
      <c r="D26" s="22" t="str">
        <f t="shared" ref="D26:D27" ca="1" si="0">OFFSET(E26,0,$A$4-1,,)</f>
        <v>электрохимический</v>
      </c>
      <c r="E26" s="23" t="s">
        <v>188</v>
      </c>
      <c r="F26" s="23" t="s">
        <v>188</v>
      </c>
      <c r="G26" t="s">
        <v>188</v>
      </c>
      <c r="H26" s="47" t="s">
        <v>189</v>
      </c>
      <c r="I26" s="23" t="s">
        <v>188</v>
      </c>
      <c r="J26" s="24" t="s">
        <v>18</v>
      </c>
      <c r="K26" s="23" t="s">
        <v>188</v>
      </c>
      <c r="L26" s="47" t="s">
        <v>189</v>
      </c>
      <c r="M26" s="24" t="s">
        <v>18</v>
      </c>
      <c r="N26" s="23" t="s">
        <v>189</v>
      </c>
      <c r="O26" s="23" t="s">
        <v>188</v>
      </c>
      <c r="P26" s="23" t="s">
        <v>188</v>
      </c>
      <c r="Q26" s="23" t="s">
        <v>188</v>
      </c>
      <c r="R26" s="24" t="s">
        <v>18</v>
      </c>
      <c r="S26" s="24" t="s">
        <v>18</v>
      </c>
      <c r="T26" s="23" t="s">
        <v>189</v>
      </c>
      <c r="U26" s="14" t="s">
        <v>18</v>
      </c>
    </row>
    <row r="27" spans="1:21" ht="16.5" customHeight="1" x14ac:dyDescent="0.2">
      <c r="D27" s="22" t="str">
        <f t="shared" ca="1" si="0"/>
        <v/>
      </c>
      <c r="E27" s="24" t="s">
        <v>18</v>
      </c>
      <c r="F27" s="24" t="s">
        <v>18</v>
      </c>
      <c r="G27" s="24" t="s">
        <v>18</v>
      </c>
      <c r="H27" s="24" t="s">
        <v>18</v>
      </c>
      <c r="I27" t="s">
        <v>189</v>
      </c>
      <c r="J27" s="24" t="s">
        <v>18</v>
      </c>
      <c r="K27" s="23" t="s">
        <v>188</v>
      </c>
      <c r="L27" s="24" t="s">
        <v>18</v>
      </c>
      <c r="M27" s="24" t="s">
        <v>18</v>
      </c>
      <c r="N27" s="24" t="s">
        <v>18</v>
      </c>
      <c r="O27" s="24" t="s">
        <v>18</v>
      </c>
      <c r="P27" s="24" t="s">
        <v>18</v>
      </c>
      <c r="Q27" s="24" t="s">
        <v>18</v>
      </c>
      <c r="R27" s="24" t="s">
        <v>18</v>
      </c>
      <c r="S27" s="55" t="s">
        <v>18</v>
      </c>
      <c r="T27" s="24" t="s">
        <v>18</v>
      </c>
      <c r="U27" s="14" t="s">
        <v>18</v>
      </c>
    </row>
    <row r="28" spans="1:21" ht="16.5" customHeight="1" x14ac:dyDescent="0.2">
      <c r="D28" s="45" t="str">
        <f ca="1">OFFSET(E28,0,$A$4-1,,)</f>
        <v/>
      </c>
      <c r="E28" s="24" t="s">
        <v>18</v>
      </c>
      <c r="F28" s="14" t="s">
        <v>18</v>
      </c>
      <c r="G28" s="14" t="s">
        <v>18</v>
      </c>
      <c r="H28" s="55" t="s">
        <v>18</v>
      </c>
      <c r="I28" s="47" t="s">
        <v>189</v>
      </c>
      <c r="J28" s="24" t="s">
        <v>18</v>
      </c>
      <c r="K28" s="48" t="s">
        <v>18</v>
      </c>
      <c r="L28" s="55" t="s">
        <v>18</v>
      </c>
      <c r="M28" s="48" t="s">
        <v>18</v>
      </c>
      <c r="N28" s="14" t="s">
        <v>18</v>
      </c>
      <c r="O28" s="48" t="s">
        <v>18</v>
      </c>
      <c r="P28" s="48" t="s">
        <v>18</v>
      </c>
      <c r="Q28" s="48" t="s">
        <v>18</v>
      </c>
      <c r="R28" s="48" t="s">
        <v>18</v>
      </c>
      <c r="S28" s="56" t="s">
        <v>18</v>
      </c>
      <c r="T28" s="14" t="s">
        <v>18</v>
      </c>
      <c r="U28" s="14" t="s">
        <v>18</v>
      </c>
    </row>
    <row r="29" spans="1:21" ht="16.5" customHeight="1" x14ac:dyDescent="0.2">
      <c r="D29" s="22" t="str">
        <f t="shared" ref="D29" ca="1" si="1">OFFSET(E29,0,$A$4-1,,)</f>
        <v/>
      </c>
      <c r="E29" s="55" t="s">
        <v>18</v>
      </c>
      <c r="F29" s="55" t="s">
        <v>18</v>
      </c>
      <c r="G29" s="55" t="s">
        <v>18</v>
      </c>
      <c r="H29" s="55" t="s">
        <v>18</v>
      </c>
      <c r="I29" s="24" t="s">
        <v>18</v>
      </c>
      <c r="J29" s="55" t="s">
        <v>18</v>
      </c>
      <c r="K29" s="55" t="s">
        <v>18</v>
      </c>
      <c r="L29" s="55" t="s">
        <v>18</v>
      </c>
      <c r="M29" s="55" t="s">
        <v>18</v>
      </c>
      <c r="N29" s="55" t="s">
        <v>18</v>
      </c>
      <c r="O29" s="55" t="s">
        <v>18</v>
      </c>
      <c r="P29" s="55" t="s">
        <v>18</v>
      </c>
      <c r="Q29" s="55" t="s">
        <v>18</v>
      </c>
      <c r="R29" s="55" t="s">
        <v>18</v>
      </c>
      <c r="S29" s="55" t="s">
        <v>18</v>
      </c>
      <c r="T29" s="55" t="s">
        <v>18</v>
      </c>
      <c r="U29" s="14" t="s">
        <v>18</v>
      </c>
    </row>
    <row r="30" spans="1:21" ht="16.5" customHeight="1" x14ac:dyDescent="0.2">
      <c r="A30" s="39" t="s">
        <v>82</v>
      </c>
    </row>
    <row r="31" spans="1:21" ht="16.5" customHeight="1" x14ac:dyDescent="0.2">
      <c r="A31" s="57">
        <v>1</v>
      </c>
      <c r="B31" s="58" t="str">
        <f ca="1">INDEX(Таблица48[Столбец1],A31,1)</f>
        <v>0..30 мг/м3, 15%</v>
      </c>
      <c r="C31" s="8" t="str">
        <f ca="1">", "&amp;IF(INDEX(Таблица48[Столбец1],A31,1)="по согласованию","XX..XX Y, X%",INDEX(Таблица48[Столбец1],A31,1))</f>
        <v>, 0..30 мг/м3, 15%</v>
      </c>
      <c r="D31" s="17" t="s">
        <v>20</v>
      </c>
      <c r="E31" s="16" t="s">
        <v>64</v>
      </c>
      <c r="F31" s="16" t="s">
        <v>65</v>
      </c>
      <c r="G31" s="16" t="s">
        <v>66</v>
      </c>
      <c r="H31" s="46" t="s">
        <v>95</v>
      </c>
      <c r="I31" s="16" t="s">
        <v>67</v>
      </c>
      <c r="J31" s="16" t="s">
        <v>68</v>
      </c>
      <c r="K31" s="16" t="s">
        <v>69</v>
      </c>
      <c r="L31" s="46" t="s">
        <v>70</v>
      </c>
      <c r="M31" s="16" t="s">
        <v>71</v>
      </c>
      <c r="N31" s="16" t="s">
        <v>72</v>
      </c>
      <c r="O31" s="16" t="s">
        <v>73</v>
      </c>
      <c r="P31" s="16" t="s">
        <v>74</v>
      </c>
      <c r="Q31" s="46" t="s">
        <v>96</v>
      </c>
      <c r="R31" s="16" t="s">
        <v>75</v>
      </c>
      <c r="S31" s="46" t="s">
        <v>97</v>
      </c>
      <c r="T31" s="16" t="s">
        <v>76</v>
      </c>
      <c r="U31" s="13" t="s">
        <v>80</v>
      </c>
    </row>
    <row r="32" spans="1:21" ht="16.5" customHeight="1" x14ac:dyDescent="0.2">
      <c r="C32" s="26" t="str">
        <f ca="1">IF(INDEX(Таблица48[Столбец1],A31,1)="по согласованию","Следует согласовать диапазон и погрешность измерения.","")</f>
        <v/>
      </c>
      <c r="D32" s="22" t="str">
        <f ca="1">OFFSET(E32,0,$A$4-1,,)</f>
        <v>0..30 мг/м3, 15%</v>
      </c>
      <c r="E32" s="23" t="s">
        <v>104</v>
      </c>
      <c r="F32" s="23" t="s">
        <v>104</v>
      </c>
      <c r="G32" s="23" t="s">
        <v>105</v>
      </c>
      <c r="H32" s="47" t="s">
        <v>160</v>
      </c>
      <c r="I32" s="23" t="s">
        <v>161</v>
      </c>
      <c r="J32" s="23" t="s">
        <v>85</v>
      </c>
      <c r="K32" s="23" t="s">
        <v>162</v>
      </c>
      <c r="L32" s="47" t="s">
        <v>163</v>
      </c>
      <c r="M32" s="23" t="s">
        <v>86</v>
      </c>
      <c r="N32" s="23" t="s">
        <v>164</v>
      </c>
      <c r="O32" s="23" t="s">
        <v>104</v>
      </c>
      <c r="P32" s="23" t="s">
        <v>104</v>
      </c>
      <c r="Q32" s="23" t="s">
        <v>106</v>
      </c>
      <c r="R32" s="23" t="s">
        <v>107</v>
      </c>
      <c r="S32" s="23" t="s">
        <v>108</v>
      </c>
      <c r="T32" s="23" t="s">
        <v>166</v>
      </c>
      <c r="U32" s="13" t="s">
        <v>87</v>
      </c>
    </row>
    <row r="33" spans="1:21" ht="16.5" customHeight="1" x14ac:dyDescent="0.2">
      <c r="D33" s="22" t="str">
        <f t="shared" ref="D33:D36" ca="1" si="2">OFFSET(E33,0,$A$4-1,,)</f>
        <v>10..500 мг/м3, 10%</v>
      </c>
      <c r="E33" s="23" t="s">
        <v>83</v>
      </c>
      <c r="F33" s="23" t="s">
        <v>84</v>
      </c>
      <c r="G33" t="s">
        <v>109</v>
      </c>
      <c r="H33" s="47" t="s">
        <v>165</v>
      </c>
      <c r="I33" s="23" t="s">
        <v>167</v>
      </c>
      <c r="J33" s="24" t="s">
        <v>87</v>
      </c>
      <c r="K33" s="23" t="s">
        <v>168</v>
      </c>
      <c r="L33" s="47" t="s">
        <v>169</v>
      </c>
      <c r="M33" s="24" t="s">
        <v>87</v>
      </c>
      <c r="N33" s="23" t="s">
        <v>165</v>
      </c>
      <c r="O33" s="23" t="s">
        <v>110</v>
      </c>
      <c r="P33" s="23" t="s">
        <v>111</v>
      </c>
      <c r="Q33" s="23" t="s">
        <v>112</v>
      </c>
      <c r="R33" s="24" t="s">
        <v>87</v>
      </c>
      <c r="S33" s="24" t="s">
        <v>87</v>
      </c>
      <c r="T33" s="23" t="s">
        <v>170</v>
      </c>
      <c r="U33" s="14" t="s">
        <v>18</v>
      </c>
    </row>
    <row r="34" spans="1:21" ht="16.5" customHeight="1" x14ac:dyDescent="0.2">
      <c r="D34" s="22" t="str">
        <f t="shared" ca="1" si="2"/>
        <v>по согласованию</v>
      </c>
      <c r="E34" s="24" t="s">
        <v>87</v>
      </c>
      <c r="F34" s="24" t="s">
        <v>87</v>
      </c>
      <c r="G34" s="24" t="s">
        <v>87</v>
      </c>
      <c r="H34" s="24" t="s">
        <v>87</v>
      </c>
      <c r="I34" t="s">
        <v>171</v>
      </c>
      <c r="J34" s="24" t="s">
        <v>18</v>
      </c>
      <c r="K34" s="23" t="s">
        <v>172</v>
      </c>
      <c r="L34" s="24" t="s">
        <v>87</v>
      </c>
      <c r="M34" s="24" t="s">
        <v>18</v>
      </c>
      <c r="N34" s="24" t="s">
        <v>87</v>
      </c>
      <c r="O34" s="24" t="s">
        <v>87</v>
      </c>
      <c r="P34" s="24" t="s">
        <v>87</v>
      </c>
      <c r="Q34" s="24" t="s">
        <v>87</v>
      </c>
      <c r="R34" s="24" t="s">
        <v>18</v>
      </c>
      <c r="S34" s="55" t="s">
        <v>18</v>
      </c>
      <c r="T34" s="24" t="s">
        <v>87</v>
      </c>
      <c r="U34" s="14" t="s">
        <v>18</v>
      </c>
    </row>
    <row r="35" spans="1:21" ht="16.5" customHeight="1" x14ac:dyDescent="0.2">
      <c r="D35" s="45" t="str">
        <f ca="1">OFFSET(E35,0,$A$4-1,,)</f>
        <v/>
      </c>
      <c r="E35" s="24" t="s">
        <v>18</v>
      </c>
      <c r="F35" s="14" t="s">
        <v>18</v>
      </c>
      <c r="G35" s="14" t="s">
        <v>18</v>
      </c>
      <c r="H35" s="55" t="s">
        <v>18</v>
      </c>
      <c r="I35" s="47" t="s">
        <v>165</v>
      </c>
      <c r="J35" s="24" t="s">
        <v>18</v>
      </c>
      <c r="K35" s="48" t="s">
        <v>87</v>
      </c>
      <c r="L35" s="55" t="s">
        <v>18</v>
      </c>
      <c r="M35" s="48" t="s">
        <v>18</v>
      </c>
      <c r="N35" s="14" t="s">
        <v>18</v>
      </c>
      <c r="O35" s="48" t="s">
        <v>18</v>
      </c>
      <c r="P35" s="48" t="s">
        <v>18</v>
      </c>
      <c r="Q35" s="48" t="s">
        <v>18</v>
      </c>
      <c r="R35" s="48" t="s">
        <v>18</v>
      </c>
      <c r="S35" s="56" t="s">
        <v>18</v>
      </c>
      <c r="T35" s="14" t="s">
        <v>18</v>
      </c>
      <c r="U35" s="14" t="s">
        <v>18</v>
      </c>
    </row>
    <row r="36" spans="1:21" ht="16.5" customHeight="1" x14ac:dyDescent="0.2">
      <c r="D36" s="22" t="str">
        <f t="shared" ca="1" si="2"/>
        <v/>
      </c>
      <c r="E36" s="55" t="s">
        <v>18</v>
      </c>
      <c r="F36" s="55" t="s">
        <v>18</v>
      </c>
      <c r="G36" s="55" t="s">
        <v>18</v>
      </c>
      <c r="H36" s="55" t="s">
        <v>18</v>
      </c>
      <c r="I36" s="24" t="s">
        <v>87</v>
      </c>
      <c r="J36" s="55" t="s">
        <v>18</v>
      </c>
      <c r="K36" s="55" t="s">
        <v>18</v>
      </c>
      <c r="L36" s="55" t="s">
        <v>18</v>
      </c>
      <c r="M36" s="55" t="s">
        <v>18</v>
      </c>
      <c r="N36" s="55" t="s">
        <v>18</v>
      </c>
      <c r="O36" s="55" t="s">
        <v>18</v>
      </c>
      <c r="P36" s="55" t="s">
        <v>18</v>
      </c>
      <c r="Q36" s="55" t="s">
        <v>18</v>
      </c>
      <c r="R36" s="55" t="s">
        <v>18</v>
      </c>
      <c r="S36" s="55" t="s">
        <v>18</v>
      </c>
      <c r="T36" s="55" t="s">
        <v>18</v>
      </c>
      <c r="U36" s="14" t="s">
        <v>18</v>
      </c>
    </row>
    <row r="37" spans="1:21" ht="16.5" customHeight="1" x14ac:dyDescent="0.2"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21" ht="16.5" customHeight="1" x14ac:dyDescent="0.2">
      <c r="A38" s="39" t="s">
        <v>113</v>
      </c>
    </row>
    <row r="39" spans="1:21" ht="16.5" customHeight="1" x14ac:dyDescent="0.2">
      <c r="B39" s="132" t="str">
        <f ca="1">INDEX(D40:D44,A31,1)</f>
        <v>для диапазона от 0 до 1.0 мг/м3 включительно приведенная погрешность ±20%, для диапазона свыше 1.0 до 30 мг/м3 включительно относительная погрешность ±15%</v>
      </c>
      <c r="E39" s="16" t="s">
        <v>64</v>
      </c>
      <c r="F39" s="16" t="s">
        <v>65</v>
      </c>
      <c r="G39" s="16" t="s">
        <v>66</v>
      </c>
      <c r="H39" s="46" t="s">
        <v>95</v>
      </c>
      <c r="I39" s="16" t="s">
        <v>67</v>
      </c>
      <c r="J39" s="16" t="s">
        <v>68</v>
      </c>
      <c r="K39" s="16" t="s">
        <v>69</v>
      </c>
      <c r="L39" s="46" t="s">
        <v>70</v>
      </c>
      <c r="M39" s="16" t="s">
        <v>71</v>
      </c>
      <c r="N39" s="16" t="s">
        <v>72</v>
      </c>
      <c r="O39" s="16" t="s">
        <v>73</v>
      </c>
      <c r="P39" s="16" t="s">
        <v>74</v>
      </c>
      <c r="Q39" s="46" t="s">
        <v>96</v>
      </c>
      <c r="R39" s="16" t="s">
        <v>75</v>
      </c>
      <c r="S39" s="46" t="s">
        <v>97</v>
      </c>
      <c r="T39" s="16" t="s">
        <v>76</v>
      </c>
      <c r="U39" s="13" t="s">
        <v>80</v>
      </c>
    </row>
    <row r="40" spans="1:21" ht="16.5" customHeight="1" x14ac:dyDescent="0.2">
      <c r="B40" s="132"/>
      <c r="D40" s="44" t="str">
        <f ca="1">OFFSET(E40,0,$A$4-1,,)</f>
        <v>для диапазона от 0 до 1.0 мг/м3 включительно приведенная погрешность ±20%, для диапазона свыше 1.0 до 30 мг/м3 включительно относительная погрешность ±15%</v>
      </c>
      <c r="E40" s="50" t="s">
        <v>114</v>
      </c>
      <c r="F40" s="50" t="s">
        <v>115</v>
      </c>
      <c r="G40" s="50" t="s">
        <v>116</v>
      </c>
      <c r="H40" s="47" t="s">
        <v>173</v>
      </c>
      <c r="I40" s="50" t="s">
        <v>174</v>
      </c>
      <c r="J40" s="50" t="s">
        <v>117</v>
      </c>
      <c r="K40" s="51" t="s">
        <v>175</v>
      </c>
      <c r="L40" s="47" t="s">
        <v>176</v>
      </c>
      <c r="M40" s="23" t="s">
        <v>118</v>
      </c>
      <c r="N40" s="23" t="s">
        <v>177</v>
      </c>
      <c r="O40" s="50" t="s">
        <v>119</v>
      </c>
      <c r="P40" s="50" t="s">
        <v>119</v>
      </c>
      <c r="Q40" s="50" t="s">
        <v>120</v>
      </c>
      <c r="R40" s="51" t="s">
        <v>121</v>
      </c>
      <c r="S40" s="51" t="s">
        <v>122</v>
      </c>
      <c r="T40" s="23" t="s">
        <v>178</v>
      </c>
      <c r="U40" s="14" t="s">
        <v>18</v>
      </c>
    </row>
    <row r="41" spans="1:21" ht="16.5" customHeight="1" x14ac:dyDescent="0.2">
      <c r="B41" s="132"/>
      <c r="D41" s="44" t="str">
        <f t="shared" ref="D41:D44" ca="1" si="3">OFFSET(E41,0,$A$4-1,,)</f>
        <v>для диапазона от 10 до 500 мг/м3 относительная погрешность ±10%</v>
      </c>
      <c r="E41" s="50" t="s">
        <v>123</v>
      </c>
      <c r="F41" s="50" t="s">
        <v>124</v>
      </c>
      <c r="G41" s="50" t="s">
        <v>125</v>
      </c>
      <c r="H41" s="52" t="s">
        <v>179</v>
      </c>
      <c r="I41" s="50" t="s">
        <v>180</v>
      </c>
      <c r="J41" s="24" t="s">
        <v>18</v>
      </c>
      <c r="K41" s="51" t="s">
        <v>181</v>
      </c>
      <c r="L41" s="47" t="s">
        <v>182</v>
      </c>
      <c r="M41" s="24"/>
      <c r="N41" s="23" t="s">
        <v>183</v>
      </c>
      <c r="O41" s="23" t="s">
        <v>126</v>
      </c>
      <c r="P41" s="51" t="s">
        <v>127</v>
      </c>
      <c r="Q41" s="51" t="s">
        <v>128</v>
      </c>
      <c r="R41" s="24" t="s">
        <v>18</v>
      </c>
      <c r="S41" s="24" t="s">
        <v>18</v>
      </c>
      <c r="T41" s="23" t="s">
        <v>184</v>
      </c>
      <c r="U41" s="14" t="s">
        <v>18</v>
      </c>
    </row>
    <row r="42" spans="1:21" ht="16.5" customHeight="1" x14ac:dyDescent="0.2">
      <c r="B42" s="132"/>
      <c r="D42" s="44" t="str">
        <f t="shared" ca="1" si="3"/>
        <v/>
      </c>
      <c r="E42" s="24" t="s">
        <v>18</v>
      </c>
      <c r="F42" s="24" t="s">
        <v>18</v>
      </c>
      <c r="G42" s="24" t="s">
        <v>18</v>
      </c>
      <c r="H42" s="55" t="s">
        <v>18</v>
      </c>
      <c r="I42" s="24" t="s">
        <v>185</v>
      </c>
      <c r="J42" s="24" t="s">
        <v>18</v>
      </c>
      <c r="K42" s="51" t="s">
        <v>186</v>
      </c>
      <c r="L42" s="55" t="s">
        <v>18</v>
      </c>
      <c r="M42" s="24" t="s">
        <v>18</v>
      </c>
      <c r="N42" s="24" t="s">
        <v>18</v>
      </c>
      <c r="O42" s="24" t="s">
        <v>18</v>
      </c>
      <c r="P42" s="24" t="s">
        <v>18</v>
      </c>
      <c r="Q42" s="24" t="s">
        <v>18</v>
      </c>
      <c r="R42" s="24" t="s">
        <v>18</v>
      </c>
      <c r="S42" s="55" t="s">
        <v>18</v>
      </c>
      <c r="T42" s="24" t="s">
        <v>18</v>
      </c>
      <c r="U42" s="14" t="s">
        <v>18</v>
      </c>
    </row>
    <row r="43" spans="1:21" ht="16.5" customHeight="1" x14ac:dyDescent="0.2">
      <c r="B43" s="132"/>
      <c r="D43" s="44" t="str">
        <f t="shared" ca="1" si="3"/>
        <v/>
      </c>
      <c r="E43" s="48" t="s">
        <v>18</v>
      </c>
      <c r="F43" s="48" t="s">
        <v>18</v>
      </c>
      <c r="G43" s="53" t="s">
        <v>18</v>
      </c>
      <c r="H43" s="55" t="s">
        <v>18</v>
      </c>
      <c r="I43" s="49" t="s">
        <v>179</v>
      </c>
      <c r="J43" s="48" t="s">
        <v>18</v>
      </c>
      <c r="K43" s="54" t="s">
        <v>18</v>
      </c>
      <c r="L43" s="55" t="s">
        <v>18</v>
      </c>
      <c r="M43" s="48" t="s">
        <v>18</v>
      </c>
      <c r="N43" s="14" t="s">
        <v>18</v>
      </c>
      <c r="O43" s="48" t="s">
        <v>18</v>
      </c>
      <c r="P43" s="48" t="s">
        <v>18</v>
      </c>
      <c r="Q43" s="48" t="s">
        <v>18</v>
      </c>
      <c r="R43" s="48" t="s">
        <v>18</v>
      </c>
      <c r="S43" s="56" t="s">
        <v>18</v>
      </c>
      <c r="T43" s="14" t="s">
        <v>18</v>
      </c>
      <c r="U43" s="14" t="s">
        <v>18</v>
      </c>
    </row>
    <row r="44" spans="1:21" ht="16.5" customHeight="1" x14ac:dyDescent="0.2">
      <c r="B44" s="132"/>
      <c r="D44" s="44" t="str">
        <f t="shared" ca="1" si="3"/>
        <v/>
      </c>
      <c r="E44" s="55" t="s">
        <v>18</v>
      </c>
      <c r="F44" s="55" t="s">
        <v>18</v>
      </c>
      <c r="G44" s="55" t="s">
        <v>18</v>
      </c>
      <c r="H44" s="55" t="s">
        <v>18</v>
      </c>
      <c r="I44" s="55" t="s">
        <v>18</v>
      </c>
      <c r="J44" s="55" t="s">
        <v>18</v>
      </c>
      <c r="K44" s="55" t="s">
        <v>18</v>
      </c>
      <c r="L44" s="55" t="s">
        <v>18</v>
      </c>
      <c r="M44" s="55" t="s">
        <v>18</v>
      </c>
      <c r="N44" s="55" t="s">
        <v>18</v>
      </c>
      <c r="O44" s="55" t="s">
        <v>18</v>
      </c>
      <c r="P44" s="55" t="s">
        <v>18</v>
      </c>
      <c r="Q44" s="55" t="s">
        <v>18</v>
      </c>
      <c r="R44" s="55" t="s">
        <v>18</v>
      </c>
      <c r="S44" s="55" t="s">
        <v>18</v>
      </c>
      <c r="T44" s="55" t="s">
        <v>18</v>
      </c>
      <c r="U44" s="14" t="s">
        <v>18</v>
      </c>
    </row>
    <row r="45" spans="1:21" ht="16.5" customHeight="1" x14ac:dyDescent="0.2"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1:21" ht="16.5" customHeight="1" x14ac:dyDescent="0.2">
      <c r="A46" s="39" t="s">
        <v>129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21" ht="16.5" customHeight="1" x14ac:dyDescent="0.2">
      <c r="B47" s="57" t="str">
        <f ca="1">INDEX(D48:D52,A31,1)</f>
        <v>Газоанализатор Сенсон-СМ-9001-NO2-2-ЭХ</v>
      </c>
      <c r="E47" s="16" t="s">
        <v>64</v>
      </c>
      <c r="F47" s="16" t="s">
        <v>65</v>
      </c>
      <c r="G47" s="16" t="s">
        <v>66</v>
      </c>
      <c r="H47" s="46" t="s">
        <v>95</v>
      </c>
      <c r="I47" s="16" t="s">
        <v>67</v>
      </c>
      <c r="J47" s="16" t="s">
        <v>68</v>
      </c>
      <c r="K47" s="16" t="s">
        <v>69</v>
      </c>
      <c r="L47" s="46" t="s">
        <v>70</v>
      </c>
      <c r="M47" s="16" t="s">
        <v>71</v>
      </c>
      <c r="N47" s="16" t="s">
        <v>72</v>
      </c>
      <c r="O47" s="16" t="s">
        <v>73</v>
      </c>
      <c r="P47" s="16" t="s">
        <v>74</v>
      </c>
      <c r="Q47" s="46" t="s">
        <v>96</v>
      </c>
      <c r="R47" s="16" t="s">
        <v>75</v>
      </c>
      <c r="S47" s="46" t="s">
        <v>97</v>
      </c>
      <c r="T47" s="16" t="s">
        <v>76</v>
      </c>
      <c r="U47" s="13" t="s">
        <v>80</v>
      </c>
    </row>
    <row r="48" spans="1:21" ht="16.5" customHeight="1" x14ac:dyDescent="0.2">
      <c r="D48" s="44" t="str">
        <f ca="1">OFFSET(E48,0,$A$4-1,,)</f>
        <v>Газоанализатор Сенсон-СМ-9001-NO2-2-ЭХ</v>
      </c>
      <c r="E48" s="23" t="s">
        <v>131</v>
      </c>
      <c r="F48" s="23" t="s">
        <v>132</v>
      </c>
      <c r="G48" s="23" t="s">
        <v>133</v>
      </c>
      <c r="H48" s="47" t="s">
        <v>134</v>
      </c>
      <c r="I48" s="23" t="s">
        <v>135</v>
      </c>
      <c r="J48" s="23" t="s">
        <v>136</v>
      </c>
      <c r="K48" s="23" t="s">
        <v>137</v>
      </c>
      <c r="L48" s="47" t="s">
        <v>138</v>
      </c>
      <c r="M48" s="23" t="s">
        <v>139</v>
      </c>
      <c r="N48" s="23" t="s">
        <v>140</v>
      </c>
      <c r="O48" s="23" t="s">
        <v>141</v>
      </c>
      <c r="P48" s="23" t="s">
        <v>141</v>
      </c>
      <c r="Q48" s="23" t="s">
        <v>142</v>
      </c>
      <c r="R48" s="23" t="s">
        <v>143</v>
      </c>
      <c r="S48" s="23" t="s">
        <v>144</v>
      </c>
      <c r="T48" s="23" t="s">
        <v>145</v>
      </c>
      <c r="U48" s="14" t="s">
        <v>18</v>
      </c>
    </row>
    <row r="49" spans="1:21" ht="16.5" customHeight="1" x14ac:dyDescent="0.2">
      <c r="D49" s="44" t="str">
        <f t="shared" ref="D49:D52" ca="1" si="4">OFFSET(E49,0,$A$4-1,,)</f>
        <v>Газоанализатор Сенсон-СМ-9001-NO2-3-ЭХ</v>
      </c>
      <c r="E49" s="23" t="s">
        <v>146</v>
      </c>
      <c r="F49" s="23" t="s">
        <v>147</v>
      </c>
      <c r="G49" t="s">
        <v>148</v>
      </c>
      <c r="H49" s="47" t="s">
        <v>149</v>
      </c>
      <c r="I49" s="23" t="s">
        <v>150</v>
      </c>
      <c r="J49" s="24" t="s">
        <v>18</v>
      </c>
      <c r="K49" s="23" t="s">
        <v>151</v>
      </c>
      <c r="L49" s="47" t="s">
        <v>152</v>
      </c>
      <c r="M49" s="24" t="s">
        <v>18</v>
      </c>
      <c r="N49" s="23" t="s">
        <v>153</v>
      </c>
      <c r="O49" s="23" t="s">
        <v>154</v>
      </c>
      <c r="P49" s="23" t="s">
        <v>154</v>
      </c>
      <c r="Q49" s="23" t="s">
        <v>155</v>
      </c>
      <c r="R49" s="24" t="s">
        <v>18</v>
      </c>
      <c r="S49" s="24" t="s">
        <v>18</v>
      </c>
      <c r="T49" s="23" t="s">
        <v>156</v>
      </c>
      <c r="U49" s="14" t="s">
        <v>18</v>
      </c>
    </row>
    <row r="50" spans="1:21" ht="16.5" customHeight="1" x14ac:dyDescent="0.2">
      <c r="D50" s="44" t="str">
        <f t="shared" ca="1" si="4"/>
        <v/>
      </c>
      <c r="E50" s="24" t="s">
        <v>18</v>
      </c>
      <c r="F50" s="24" t="s">
        <v>18</v>
      </c>
      <c r="G50" s="24" t="s">
        <v>18</v>
      </c>
      <c r="H50" s="24" t="s">
        <v>18</v>
      </c>
      <c r="I50" t="s">
        <v>157</v>
      </c>
      <c r="J50" s="24" t="s">
        <v>18</v>
      </c>
      <c r="K50" s="23" t="s">
        <v>158</v>
      </c>
      <c r="L50" s="24" t="s">
        <v>18</v>
      </c>
      <c r="M50" s="24" t="s">
        <v>18</v>
      </c>
      <c r="N50" s="24" t="s">
        <v>18</v>
      </c>
      <c r="O50" s="24" t="s">
        <v>18</v>
      </c>
      <c r="P50" s="24" t="s">
        <v>18</v>
      </c>
      <c r="Q50" s="24" t="s">
        <v>18</v>
      </c>
      <c r="R50" s="24" t="s">
        <v>18</v>
      </c>
      <c r="S50" s="55" t="s">
        <v>18</v>
      </c>
      <c r="T50" s="24" t="s">
        <v>18</v>
      </c>
      <c r="U50" s="14" t="s">
        <v>18</v>
      </c>
    </row>
    <row r="51" spans="1:21" ht="16.5" customHeight="1" x14ac:dyDescent="0.2">
      <c r="D51" s="44" t="str">
        <f t="shared" ca="1" si="4"/>
        <v/>
      </c>
      <c r="E51" s="24" t="s">
        <v>18</v>
      </c>
      <c r="F51" s="14" t="s">
        <v>18</v>
      </c>
      <c r="G51" s="14" t="s">
        <v>18</v>
      </c>
      <c r="H51" s="55" t="s">
        <v>18</v>
      </c>
      <c r="I51" s="47" t="s">
        <v>159</v>
      </c>
      <c r="J51" s="24" t="s">
        <v>18</v>
      </c>
      <c r="K51" s="48" t="s">
        <v>18</v>
      </c>
      <c r="L51" s="55" t="s">
        <v>18</v>
      </c>
      <c r="M51" s="48" t="s">
        <v>18</v>
      </c>
      <c r="N51" s="14" t="s">
        <v>18</v>
      </c>
      <c r="O51" s="48" t="s">
        <v>18</v>
      </c>
      <c r="P51" s="48" t="s">
        <v>18</v>
      </c>
      <c r="Q51" s="48" t="s">
        <v>18</v>
      </c>
      <c r="R51" s="48" t="s">
        <v>18</v>
      </c>
      <c r="S51" s="56" t="s">
        <v>18</v>
      </c>
      <c r="T51" s="14" t="s">
        <v>18</v>
      </c>
      <c r="U51" s="14" t="s">
        <v>18</v>
      </c>
    </row>
    <row r="52" spans="1:21" ht="16.5" customHeight="1" x14ac:dyDescent="0.2">
      <c r="D52" s="44" t="str">
        <f t="shared" ca="1" si="4"/>
        <v/>
      </c>
      <c r="E52" s="55" t="s">
        <v>18</v>
      </c>
      <c r="F52" s="55" t="s">
        <v>18</v>
      </c>
      <c r="G52" s="55" t="s">
        <v>18</v>
      </c>
      <c r="H52" s="55" t="s">
        <v>18</v>
      </c>
      <c r="I52" s="24" t="s">
        <v>18</v>
      </c>
      <c r="J52" s="55" t="s">
        <v>18</v>
      </c>
      <c r="K52" s="55" t="s">
        <v>18</v>
      </c>
      <c r="L52" s="55" t="s">
        <v>18</v>
      </c>
      <c r="M52" s="55" t="s">
        <v>18</v>
      </c>
      <c r="N52" s="55" t="s">
        <v>18</v>
      </c>
      <c r="O52" s="55" t="s">
        <v>18</v>
      </c>
      <c r="P52" s="55" t="s">
        <v>18</v>
      </c>
      <c r="Q52" s="55" t="s">
        <v>18</v>
      </c>
      <c r="R52" s="55" t="s">
        <v>18</v>
      </c>
      <c r="S52" s="55" t="s">
        <v>18</v>
      </c>
      <c r="T52" s="55" t="s">
        <v>18</v>
      </c>
      <c r="U52" s="14" t="s">
        <v>18</v>
      </c>
    </row>
    <row r="53" spans="1:21" ht="16.5" customHeight="1" x14ac:dyDescent="0.2"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21" ht="16.5" customHeight="1" x14ac:dyDescent="0.2"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21" ht="16.5" customHeight="1" x14ac:dyDescent="0.2">
      <c r="A55" s="39" t="s">
        <v>36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21" ht="16.5" customHeight="1" x14ac:dyDescent="0.2">
      <c r="A56" s="57">
        <v>1</v>
      </c>
      <c r="B56" s="58" t="str">
        <f>INDEX(Таблица9[],A56,1)</f>
        <v>с выносным сенсором</v>
      </c>
      <c r="C56" s="8" t="str">
        <f>VLOOKUP(B56,Таблица9[#All],2,)</f>
        <v/>
      </c>
      <c r="D56" s="2" t="s">
        <v>20</v>
      </c>
      <c r="E56" s="2" t="s">
        <v>21</v>
      </c>
    </row>
    <row r="57" spans="1:21" ht="16.5" customHeight="1" x14ac:dyDescent="0.2">
      <c r="D57" s="2" t="s">
        <v>77</v>
      </c>
      <c r="E57" s="7" t="s">
        <v>18</v>
      </c>
    </row>
    <row r="58" spans="1:21" ht="16.5" customHeight="1" x14ac:dyDescent="0.2">
      <c r="D58" s="80" t="s">
        <v>79</v>
      </c>
      <c r="E58" s="80" t="s">
        <v>78</v>
      </c>
    </row>
    <row r="60" spans="1:21" ht="16.5" customHeight="1" x14ac:dyDescent="0.2">
      <c r="A60" s="39" t="s">
        <v>15</v>
      </c>
    </row>
    <row r="61" spans="1:21" ht="16.5" customHeight="1" x14ac:dyDescent="0.2">
      <c r="A61" s="57">
        <v>1</v>
      </c>
      <c r="B61" s="58">
        <f ca="1">INDEX(D62:D68,A61,1)</f>
        <v>1</v>
      </c>
      <c r="C61" s="8" t="str">
        <f ca="1">VLOOKUP(B61,Таблица3[#All],2,)</f>
        <v>, 1м</v>
      </c>
      <c r="D61" s="2" t="s">
        <v>20</v>
      </c>
      <c r="E61" s="2" t="s">
        <v>21</v>
      </c>
      <c r="F61" s="15" t="s">
        <v>77</v>
      </c>
      <c r="G61" s="15" t="s">
        <v>79</v>
      </c>
      <c r="H61" s="15" t="s">
        <v>77</v>
      </c>
      <c r="I61" s="15" t="s">
        <v>79</v>
      </c>
    </row>
    <row r="62" spans="1:21" ht="16.5" customHeight="1" x14ac:dyDescent="0.2">
      <c r="A62" s="4"/>
      <c r="B62" s="5"/>
      <c r="D62" s="2">
        <f t="shared" ref="D62:D68" ca="1" si="5">OFFSET(F62,0,$A$56-1,,)</f>
        <v>1</v>
      </c>
      <c r="E62" s="2" t="str">
        <f ca="1">OFFSET(H62,0,$A$56-1,,)</f>
        <v>, 1м</v>
      </c>
      <c r="F62" s="13">
        <v>1</v>
      </c>
      <c r="G62" s="14" t="s">
        <v>18</v>
      </c>
      <c r="H62" s="18" t="s">
        <v>22</v>
      </c>
      <c r="I62" s="14" t="s">
        <v>18</v>
      </c>
    </row>
    <row r="63" spans="1:21" ht="16.5" customHeight="1" x14ac:dyDescent="0.2">
      <c r="B63" s="5"/>
      <c r="D63" s="2">
        <f t="shared" ca="1" si="5"/>
        <v>2</v>
      </c>
      <c r="E63" s="2" t="str">
        <f t="shared" ref="E63:E68" ca="1" si="6">OFFSET(H63,0,$A$56-1,,)</f>
        <v>, 2м</v>
      </c>
      <c r="F63" s="13">
        <v>2</v>
      </c>
      <c r="G63" s="14" t="s">
        <v>18</v>
      </c>
      <c r="H63" s="18" t="s">
        <v>23</v>
      </c>
      <c r="I63" s="14" t="s">
        <v>18</v>
      </c>
    </row>
    <row r="64" spans="1:21" ht="16.5" customHeight="1" x14ac:dyDescent="0.2">
      <c r="B64" s="5"/>
      <c r="D64" s="2">
        <f t="shared" ca="1" si="5"/>
        <v>3</v>
      </c>
      <c r="E64" s="2" t="str">
        <f t="shared" ca="1" si="6"/>
        <v>, 3м</v>
      </c>
      <c r="F64" s="13">
        <v>3</v>
      </c>
      <c r="G64" s="14" t="s">
        <v>18</v>
      </c>
      <c r="H64" s="18" t="s">
        <v>24</v>
      </c>
      <c r="I64" s="14" t="s">
        <v>18</v>
      </c>
    </row>
    <row r="65" spans="1:9" ht="16.5" customHeight="1" x14ac:dyDescent="0.2">
      <c r="B65" s="5"/>
      <c r="D65" s="2">
        <f t="shared" ca="1" si="5"/>
        <v>5</v>
      </c>
      <c r="E65" s="2" t="str">
        <f t="shared" ca="1" si="6"/>
        <v>, 5м</v>
      </c>
      <c r="F65" s="13">
        <v>5</v>
      </c>
      <c r="G65" s="14" t="s">
        <v>18</v>
      </c>
      <c r="H65" s="18" t="s">
        <v>25</v>
      </c>
      <c r="I65" s="14" t="s">
        <v>18</v>
      </c>
    </row>
    <row r="66" spans="1:9" ht="16.5" customHeight="1" x14ac:dyDescent="0.2">
      <c r="B66" s="5"/>
      <c r="D66" s="2">
        <f t="shared" ca="1" si="5"/>
        <v>7</v>
      </c>
      <c r="E66" s="2" t="str">
        <f t="shared" ca="1" si="6"/>
        <v>, 7м</v>
      </c>
      <c r="F66" s="13">
        <v>7</v>
      </c>
      <c r="G66" s="14" t="s">
        <v>18</v>
      </c>
      <c r="H66" s="18" t="s">
        <v>26</v>
      </c>
      <c r="I66" s="14" t="s">
        <v>18</v>
      </c>
    </row>
    <row r="67" spans="1:9" ht="16.5" customHeight="1" x14ac:dyDescent="0.2">
      <c r="B67" s="5"/>
      <c r="D67" s="2">
        <f t="shared" ca="1" si="5"/>
        <v>10</v>
      </c>
      <c r="E67" s="2" t="str">
        <f t="shared" ca="1" si="6"/>
        <v>, 10м</v>
      </c>
      <c r="F67" s="13">
        <v>10</v>
      </c>
      <c r="G67" s="14" t="s">
        <v>18</v>
      </c>
      <c r="H67" s="18" t="s">
        <v>27</v>
      </c>
      <c r="I67" s="14" t="s">
        <v>18</v>
      </c>
    </row>
    <row r="68" spans="1:9" ht="16.5" customHeight="1" x14ac:dyDescent="0.2">
      <c r="A68" s="4"/>
      <c r="B68" s="5"/>
      <c r="D68" s="2" t="str">
        <f t="shared" ca="1" si="5"/>
        <v>другая</v>
      </c>
      <c r="E68" s="2" t="str">
        <f t="shared" ca="1" si="6"/>
        <v>, м</v>
      </c>
      <c r="F68" s="19" t="s">
        <v>6</v>
      </c>
      <c r="G68" s="14" t="s">
        <v>18</v>
      </c>
      <c r="H68" s="18" t="str">
        <f>", "&amp;'Опросный лист газоанализатор'!I10&amp;"м"</f>
        <v>, м</v>
      </c>
      <c r="I68" s="14" t="s">
        <v>18</v>
      </c>
    </row>
    <row r="69" spans="1:9" ht="16.5" customHeight="1" x14ac:dyDescent="0.2">
      <c r="B69" s="5"/>
      <c r="D69" s="3"/>
      <c r="E69" s="3"/>
      <c r="I69" s="6"/>
    </row>
    <row r="70" spans="1:9" ht="16.5" customHeight="1" x14ac:dyDescent="0.2">
      <c r="A70" s="39" t="s">
        <v>12</v>
      </c>
      <c r="B70" s="5"/>
      <c r="D70" s="3"/>
      <c r="E70" s="3"/>
      <c r="I70" s="6"/>
    </row>
    <row r="71" spans="1:9" ht="16.5" customHeight="1" x14ac:dyDescent="0.2">
      <c r="A71" s="57">
        <v>1</v>
      </c>
      <c r="B71" s="58" t="str">
        <f ca="1">INDEX(D72:D74,A71,1)</f>
        <v>без дополнительной защиты</v>
      </c>
      <c r="C71" s="8" t="str">
        <f ca="1">VLOOKUP(B71,Таблица4[#All],2,)</f>
        <v/>
      </c>
      <c r="D71" s="2" t="s">
        <v>20</v>
      </c>
      <c r="E71" s="2" t="s">
        <v>21</v>
      </c>
      <c r="F71" s="15" t="s">
        <v>77</v>
      </c>
      <c r="G71" s="15" t="s">
        <v>79</v>
      </c>
      <c r="H71" s="15" t="s">
        <v>77</v>
      </c>
      <c r="I71" s="15" t="s">
        <v>79</v>
      </c>
    </row>
    <row r="72" spans="1:9" ht="16.5" customHeight="1" x14ac:dyDescent="0.2">
      <c r="A72" s="4"/>
      <c r="B72" s="5"/>
      <c r="D72" s="2" t="str">
        <f t="shared" ref="D72:D74" ca="1" si="7">OFFSET(F72,0,$A$56-1,,)</f>
        <v>без дополнительной защиты</v>
      </c>
      <c r="E72" s="7" t="str">
        <f t="shared" ref="E72:E74" ca="1" si="8">OFFSET(H72,0,$A$56-1,,)</f>
        <v/>
      </c>
      <c r="F72" s="13" t="s">
        <v>13</v>
      </c>
      <c r="G72" s="14" t="s">
        <v>18</v>
      </c>
      <c r="H72" s="20" t="s">
        <v>18</v>
      </c>
      <c r="I72" s="14" t="s">
        <v>18</v>
      </c>
    </row>
    <row r="73" spans="1:9" ht="16.5" customHeight="1" x14ac:dyDescent="0.2">
      <c r="A73" s="4"/>
      <c r="B73" s="5"/>
      <c r="D73" s="2" t="str">
        <f t="shared" ca="1" si="7"/>
        <v>труба гофрированная полимерная</v>
      </c>
      <c r="E73" s="2" t="str">
        <f t="shared" ca="1" si="8"/>
        <v>, ТГ</v>
      </c>
      <c r="F73" s="13" t="s">
        <v>14</v>
      </c>
      <c r="G73" s="14" t="s">
        <v>18</v>
      </c>
      <c r="H73" s="18" t="s">
        <v>28</v>
      </c>
      <c r="I73" s="14" t="s">
        <v>18</v>
      </c>
    </row>
    <row r="74" spans="1:9" ht="16.5" customHeight="1" x14ac:dyDescent="0.2">
      <c r="A74" s="4"/>
      <c r="B74" s="5"/>
      <c r="D74" s="2" t="str">
        <f t="shared" ca="1" si="7"/>
        <v>другая</v>
      </c>
      <c r="E74" s="2" t="str">
        <f t="shared" ca="1" si="8"/>
        <v xml:space="preserve">, </v>
      </c>
      <c r="F74" s="19" t="s">
        <v>6</v>
      </c>
      <c r="G74" s="14" t="s">
        <v>18</v>
      </c>
      <c r="H74" s="18" t="str">
        <f>", "&amp;'Опросный лист газоанализатор'!I12</f>
        <v xml:space="preserve">, </v>
      </c>
      <c r="I74" s="14" t="s">
        <v>18</v>
      </c>
    </row>
    <row r="75" spans="1:9" ht="16.5" customHeight="1" x14ac:dyDescent="0.2">
      <c r="A75" s="4"/>
      <c r="B75" s="5"/>
      <c r="I75" s="6"/>
    </row>
    <row r="76" spans="1:9" ht="16.5" customHeight="1" x14ac:dyDescent="0.2">
      <c r="A76" s="39" t="s">
        <v>30</v>
      </c>
      <c r="B76" s="5"/>
      <c r="I76" s="6"/>
    </row>
    <row r="77" spans="1:9" ht="16.5" customHeight="1" x14ac:dyDescent="0.2">
      <c r="A77" s="57">
        <v>1</v>
      </c>
      <c r="B77" s="58" t="str">
        <f>INDEX(D78:D79,A77,1)</f>
        <v>LoRaWAN + Bluetooth Low Energy</v>
      </c>
      <c r="C77" s="8" t="str">
        <f>VLOOKUP(B77,Таблица2[#All],2,)</f>
        <v>, LoRa</v>
      </c>
      <c r="D77" s="2" t="s">
        <v>20</v>
      </c>
      <c r="E77" s="2" t="s">
        <v>21</v>
      </c>
    </row>
    <row r="78" spans="1:9" ht="16.5" customHeight="1" x14ac:dyDescent="0.2">
      <c r="D78" s="2" t="s">
        <v>31</v>
      </c>
      <c r="E78" s="2" t="s">
        <v>29</v>
      </c>
    </row>
    <row r="79" spans="1:9" ht="16.5" customHeight="1" x14ac:dyDescent="0.2">
      <c r="A79" s="4"/>
      <c r="B79" s="5"/>
      <c r="D79" s="2" t="s">
        <v>32</v>
      </c>
      <c r="E79" s="2" t="s">
        <v>33</v>
      </c>
      <c r="I79" s="6"/>
    </row>
    <row r="80" spans="1:9" ht="16.5" customHeight="1" x14ac:dyDescent="0.2">
      <c r="A80" s="4"/>
      <c r="B80" s="5"/>
      <c r="I80" s="6"/>
    </row>
    <row r="81" spans="1:9" ht="16.5" customHeight="1" x14ac:dyDescent="0.2">
      <c r="A81" s="39" t="s">
        <v>88</v>
      </c>
      <c r="B81" s="5"/>
      <c r="I81" s="6"/>
    </row>
    <row r="82" spans="1:9" ht="16.5" customHeight="1" x14ac:dyDescent="0.2">
      <c r="A82" s="60">
        <v>1</v>
      </c>
      <c r="B82" s="61" t="str">
        <f>INDEX(D83:E83,A82,1)</f>
        <v>от -40 до +60 °C (индустриальный температурный диапазон)</v>
      </c>
      <c r="C82" s="8" t="str">
        <f>INDEX(Таблица8[],A82,2)</f>
        <v/>
      </c>
      <c r="D82" s="2" t="s">
        <v>20</v>
      </c>
      <c r="E82" s="2" t="s">
        <v>21</v>
      </c>
      <c r="I82" s="6"/>
    </row>
    <row r="83" spans="1:9" ht="16.5" customHeight="1" x14ac:dyDescent="0.2">
      <c r="A83" s="4"/>
      <c r="B83" s="5"/>
      <c r="D83" s="2" t="s">
        <v>89</v>
      </c>
      <c r="E83" s="2" t="s">
        <v>18</v>
      </c>
      <c r="I83" s="6"/>
    </row>
    <row r="84" spans="1:9" ht="16.5" customHeight="1" x14ac:dyDescent="0.2">
      <c r="A84" s="4"/>
      <c r="B84" s="5"/>
      <c r="D84" s="100" t="str">
        <f>IF(AND(A77&lt;2,C4&lt;&gt;"CH4"),"от -52 до +60 °C (низкотемпературный диапазон)","")</f>
        <v>от -52 до +60 °C (низкотемпературный диапазон)</v>
      </c>
      <c r="E84" s="100" t="str">
        <f>IF(AND(A77&lt;2,C4&lt;&gt;"CH4"),", Н","")</f>
        <v>, Н</v>
      </c>
      <c r="I84" s="6"/>
    </row>
    <row r="85" spans="1:9" ht="16.5" customHeight="1" x14ac:dyDescent="0.2">
      <c r="A85" s="4"/>
      <c r="B85" s="5"/>
      <c r="D85" s="100" t="str">
        <f>IF(AND(A77&lt;2,C4&lt;&gt;"CH4"),"от -56 до +60 °C (расширенный низкотемпературный диапазон)","")</f>
        <v>от -56 до +60 °C (расширенный низкотемпературный диапазон)</v>
      </c>
      <c r="E85" s="100" t="str">
        <f>IF(AND(A77&lt;2,C4&lt;&gt;"CH4"),", РН","")</f>
        <v>, РН</v>
      </c>
      <c r="I85" s="6"/>
    </row>
    <row r="86" spans="1:9" ht="16.5" customHeight="1" x14ac:dyDescent="0.2">
      <c r="A86" s="4"/>
      <c r="B86" s="5"/>
      <c r="I86" s="6"/>
    </row>
    <row r="87" spans="1:9" ht="16.5" customHeight="1" x14ac:dyDescent="0.2">
      <c r="A87" s="39" t="s">
        <v>90</v>
      </c>
      <c r="B87" s="5"/>
      <c r="I87" s="6"/>
    </row>
    <row r="88" spans="1:9" ht="16.5" customHeight="1" x14ac:dyDescent="0.2">
      <c r="A88" s="57">
        <v>1</v>
      </c>
      <c r="B88" s="58" t="str">
        <f>INDEX(D89:D92,A88,1)</f>
        <v>не требуется</v>
      </c>
      <c r="C88" s="8" t="str">
        <f>VLOOKUP(B88,Таблица5[#All],2,)</f>
        <v/>
      </c>
      <c r="D88" s="2" t="s">
        <v>20</v>
      </c>
      <c r="E88" s="2" t="s">
        <v>21</v>
      </c>
    </row>
    <row r="89" spans="1:9" ht="16.5" customHeight="1" x14ac:dyDescent="0.2">
      <c r="D89" s="2" t="s">
        <v>11</v>
      </c>
      <c r="E89" s="7" t="s">
        <v>18</v>
      </c>
    </row>
    <row r="90" spans="1:9" ht="16.5" customHeight="1" x14ac:dyDescent="0.2">
      <c r="D90" t="s">
        <v>91</v>
      </c>
      <c r="E90" s="40" t="s">
        <v>195</v>
      </c>
    </row>
    <row r="91" spans="1:9" ht="16.5" customHeight="1" x14ac:dyDescent="0.2">
      <c r="D91" t="s">
        <v>92</v>
      </c>
      <c r="E91" s="40" t="s">
        <v>196</v>
      </c>
    </row>
    <row r="92" spans="1:9" ht="16.5" customHeight="1" x14ac:dyDescent="0.2">
      <c r="D92" s="2" t="s">
        <v>5</v>
      </c>
      <c r="E92" s="2" t="str">
        <f>"Крепление: "&amp;'Опросный лист газоанализатор'!I18</f>
        <v xml:space="preserve">Крепление: </v>
      </c>
    </row>
    <row r="94" spans="1:9" ht="16.5" customHeight="1" x14ac:dyDescent="0.2">
      <c r="A94" s="39" t="s">
        <v>90</v>
      </c>
      <c r="B94" s="5"/>
    </row>
    <row r="95" spans="1:9" ht="16.5" customHeight="1" x14ac:dyDescent="0.2">
      <c r="A95" s="57">
        <v>1</v>
      </c>
      <c r="B95" s="58" t="str">
        <f>INDEX(D96:D97,A95,1)</f>
        <v>не требуется</v>
      </c>
      <c r="C95" s="8" t="str">
        <f>VLOOKUP(B95,Таблица10[],2,)</f>
        <v/>
      </c>
      <c r="D95" s="2" t="s">
        <v>20</v>
      </c>
      <c r="E95" s="2" t="s">
        <v>21</v>
      </c>
    </row>
    <row r="96" spans="1:9" ht="16.5" customHeight="1" x14ac:dyDescent="0.2">
      <c r="D96" s="2" t="s">
        <v>11</v>
      </c>
      <c r="E96" s="7" t="s">
        <v>18</v>
      </c>
    </row>
    <row r="97" spans="1:5" ht="16.5" customHeight="1" x14ac:dyDescent="0.2">
      <c r="D97" t="s">
        <v>201</v>
      </c>
      <c r="E97" s="40" t="s">
        <v>200</v>
      </c>
    </row>
    <row r="99" spans="1:5" ht="16.5" customHeight="1" x14ac:dyDescent="0.2">
      <c r="A99" s="39" t="s">
        <v>130</v>
      </c>
    </row>
    <row r="100" spans="1:5" ht="16.5" customHeight="1" x14ac:dyDescent="0.2">
      <c r="A100" s="133" t="str">
        <f ca="1">"Газоанализатор"&amp;C56&amp;" ""Автон"" ("&amp;C4&amp;C31&amp;C61&amp;C71&amp;C82&amp;C77&amp;")"</f>
        <v>Газоанализатор "Автон" (NO2, 0..30 мг/м3, 15%, 1м, LoRa)</v>
      </c>
      <c r="B100" s="133"/>
      <c r="C100" s="133"/>
    </row>
    <row r="101" spans="1:5" ht="16.5" customHeight="1" x14ac:dyDescent="0.2">
      <c r="A101" s="133" t="str">
        <f ca="1">B47</f>
        <v>Газоанализатор Сенсон-СМ-9001-NO2-2-ЭХ</v>
      </c>
      <c r="B101" s="133"/>
      <c r="C101" s="133"/>
    </row>
    <row r="104" spans="1:5" ht="16.5" customHeight="1" x14ac:dyDescent="0.2">
      <c r="A104" s="79" t="s">
        <v>190</v>
      </c>
    </row>
    <row r="105" spans="1:5" ht="52.5" customHeight="1" x14ac:dyDescent="0.2">
      <c r="A105" s="81">
        <v>45420</v>
      </c>
      <c r="B105" s="130" t="s">
        <v>191</v>
      </c>
      <c r="C105" s="130"/>
      <c r="D105" s="130"/>
    </row>
    <row r="106" spans="1:5" ht="16.5" customHeight="1" x14ac:dyDescent="0.2">
      <c r="A106" s="81">
        <v>45457</v>
      </c>
      <c r="B106" s="130" t="s">
        <v>192</v>
      </c>
      <c r="C106" s="130"/>
      <c r="D106" s="130"/>
    </row>
    <row r="107" spans="1:5" ht="16.5" customHeight="1" x14ac:dyDescent="0.2">
      <c r="A107" s="81">
        <v>45637</v>
      </c>
      <c r="B107" s="130" t="s">
        <v>193</v>
      </c>
      <c r="C107" s="130"/>
      <c r="D107" s="130"/>
    </row>
    <row r="108" spans="1:5" ht="30" customHeight="1" x14ac:dyDescent="0.2">
      <c r="A108" s="81">
        <v>45643</v>
      </c>
      <c r="B108" s="130" t="s">
        <v>194</v>
      </c>
      <c r="C108" s="130"/>
      <c r="D108" s="130"/>
    </row>
    <row r="109" spans="1:5" ht="30" customHeight="1" x14ac:dyDescent="0.2">
      <c r="A109" s="81">
        <v>45680</v>
      </c>
      <c r="B109" s="130" t="s">
        <v>203</v>
      </c>
      <c r="C109" s="130"/>
      <c r="D109" s="130"/>
    </row>
    <row r="110" spans="1:5" ht="16.5" customHeight="1" x14ac:dyDescent="0.2">
      <c r="A110" s="81">
        <v>45776</v>
      </c>
      <c r="B110" s="130" t="s">
        <v>204</v>
      </c>
      <c r="C110" s="130"/>
      <c r="D110" s="130"/>
    </row>
    <row r="127" spans="1:2" ht="16.5" customHeight="1" x14ac:dyDescent="0.2">
      <c r="A127" s="11"/>
      <c r="B127" s="12"/>
    </row>
  </sheetData>
  <sheetProtection selectLockedCells="1" selectUnlockedCells="1"/>
  <mergeCells count="10">
    <mergeCell ref="B110:D110"/>
    <mergeCell ref="B109:D109"/>
    <mergeCell ref="B108:D108"/>
    <mergeCell ref="B107:D107"/>
    <mergeCell ref="B106:D106"/>
    <mergeCell ref="A1:B1"/>
    <mergeCell ref="B39:B44"/>
    <mergeCell ref="A100:C100"/>
    <mergeCell ref="A101:C101"/>
    <mergeCell ref="B105:D105"/>
  </mergeCells>
  <pageMargins left="0.6692913385826772" right="0.15748031496062992" top="0.35433070866141736" bottom="0.27559055118110237" header="0.19685039370078741" footer="0.23622047244094491"/>
  <pageSetup paperSize="9" scale="17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3" sqref="H3"/>
    </sheetView>
  </sheetViews>
  <sheetFormatPr defaultRowHeight="12.75" x14ac:dyDescent="0.2"/>
  <cols>
    <col min="1" max="1" width="4.7109375" customWidth="1"/>
    <col min="2" max="2" width="30.140625" customWidth="1"/>
    <col min="3" max="3" width="36.5703125" customWidth="1"/>
  </cols>
  <sheetData>
    <row r="1" spans="1:3" ht="24" customHeight="1" x14ac:dyDescent="0.2">
      <c r="A1" s="41" t="s">
        <v>93</v>
      </c>
      <c r="B1" s="42"/>
    </row>
    <row r="2" spans="1:3" ht="14.25" x14ac:dyDescent="0.2">
      <c r="A2" s="43"/>
      <c r="B2" s="102" t="s">
        <v>197</v>
      </c>
      <c r="C2" s="102" t="s">
        <v>198</v>
      </c>
    </row>
    <row r="3" spans="1:3" ht="407.25" customHeight="1" x14ac:dyDescent="0.2">
      <c r="A3" s="43"/>
      <c r="B3" s="43"/>
    </row>
    <row r="5" spans="1:3" ht="15" x14ac:dyDescent="0.2">
      <c r="A5" s="41" t="s">
        <v>202</v>
      </c>
    </row>
    <row r="6" spans="1:3" ht="177" customHeight="1" x14ac:dyDescent="0.2"/>
  </sheetData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Опросный лист газоанализатор</vt:lpstr>
      <vt:lpstr>Лист1</vt:lpstr>
      <vt:lpstr>Справка</vt:lpstr>
      <vt:lpstr>'Опросный лист газоанализатор'!Область_печати</vt:lpstr>
      <vt:lpstr>Пульт_калибровки_ПК_01_производства_ООО__НИИИТ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2025-01-23T07:53:01Z</cp:lastPrinted>
  <dcterms:created xsi:type="dcterms:W3CDTF">2008-11-24T06:26:29Z</dcterms:created>
  <dcterms:modified xsi:type="dcterms:W3CDTF">2025-04-29T14:58:54Z</dcterms:modified>
</cp:coreProperties>
</file>